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630" windowHeight="3840" activeTab="0"/>
  </bookViews>
  <sheets>
    <sheet name="USAQUEN" sheetId="1" r:id="rId1"/>
    <sheet name="CHAPINERO" sheetId="2" r:id="rId2"/>
    <sheet name="SANTAFE" sheetId="3" r:id="rId3"/>
    <sheet name="S. CRIST." sheetId="4" r:id="rId4"/>
    <sheet name="USME" sheetId="5" r:id="rId5"/>
    <sheet name="CONS." sheetId="6" state="hidden" r:id="rId6"/>
  </sheets>
  <definedNames/>
  <calcPr fullCalcOnLoad="1"/>
</workbook>
</file>

<file path=xl/sharedStrings.xml><?xml version="1.0" encoding="utf-8"?>
<sst xmlns="http://schemas.openxmlformats.org/spreadsheetml/2006/main" count="541" uniqueCount="97">
  <si>
    <t>FONDO DE DESARROLLO LOCAL DE USAQUEN</t>
  </si>
  <si>
    <t>EJECUCION A DICIEMBRE 31 DE 2001</t>
  </si>
  <si>
    <t>(Miles de pesos)</t>
  </si>
  <si>
    <t>CODIGO</t>
  </si>
  <si>
    <t>CONCEPTO</t>
  </si>
  <si>
    <t>INICIAL</t>
  </si>
  <si>
    <t>MODIFIC.</t>
  </si>
  <si>
    <t>VIGENTE</t>
  </si>
  <si>
    <t xml:space="preserve">GIROS </t>
  </si>
  <si>
    <t xml:space="preserve">RESERVAS </t>
  </si>
  <si>
    <t>EJECUCION</t>
  </si>
  <si>
    <t>% EJEC</t>
  </si>
  <si>
    <t>331-10-01</t>
  </si>
  <si>
    <t>DESMARGINALIZACION</t>
  </si>
  <si>
    <t>331-10-01-01</t>
  </si>
  <si>
    <t>Ampliación y mejoramiento de la infraestructura vial y de servicios públicos</t>
  </si>
  <si>
    <t>331-10-01-02</t>
  </si>
  <si>
    <t>Ampliación y mejoramiento de la infraestructura del sector social</t>
  </si>
  <si>
    <t>331-10-01-03</t>
  </si>
  <si>
    <t>Ampliación y mejoramiento del espacio público y la infraestructura recreativa y deportiva, la infraestructura del sector</t>
  </si>
  <si>
    <t>331-10-01-04</t>
  </si>
  <si>
    <t>Adecuación de zonas de riesgo y atención de familias afectadas</t>
  </si>
  <si>
    <t>331-10-01-05</t>
  </si>
  <si>
    <t>Promoción de la gestión comunitaria e institucional</t>
  </si>
  <si>
    <t>331-10-01-06</t>
  </si>
  <si>
    <t>Fomento a la inversión local</t>
  </si>
  <si>
    <t>331-10-02</t>
  </si>
  <si>
    <t>INTERACCION SOCIAL</t>
  </si>
  <si>
    <t>331-10-02-07</t>
  </si>
  <si>
    <t>Mejoramiento de la calidad de la educación</t>
  </si>
  <si>
    <t>331-10-02-08</t>
  </si>
  <si>
    <t>Mejoramiento de la calidad y cobertura en la prerstación de servicios de salud</t>
  </si>
  <si>
    <t>331-10-02-09</t>
  </si>
  <si>
    <t>Mejoramiento en la calidad y aumento de la cobertura de servicios a grupos vulnerables</t>
  </si>
  <si>
    <t>331-10-013</t>
  </si>
  <si>
    <t>CIUDAD A ESCALA HUMANA</t>
  </si>
  <si>
    <t>331-10-03-10</t>
  </si>
  <si>
    <t>Recupración mejoramiento y ampliación del espacio público</t>
  </si>
  <si>
    <t>331-10-03-11</t>
  </si>
  <si>
    <t>Recuperación mejoramiento y ampliación de parques infraestructura recreativa deportiva y ecosistemas estratégicos</t>
  </si>
  <si>
    <t>331-10-03</t>
  </si>
  <si>
    <t>Control y mitigación del impacto ambiental</t>
  </si>
  <si>
    <t>331-10-04</t>
  </si>
  <si>
    <t>MOVILIDAD</t>
  </si>
  <si>
    <t>331-10-04-17</t>
  </si>
  <si>
    <t>Adecuación infraestructura vial</t>
  </si>
  <si>
    <t>331-10-05</t>
  </si>
  <si>
    <t>URBANISMO Y SERVICIOS</t>
  </si>
  <si>
    <t xml:space="preserve"> </t>
  </si>
  <si>
    <t>Renovación urbana</t>
  </si>
  <si>
    <t>Ordenación de la expansión de la ciudad</t>
  </si>
  <si>
    <t>331-10-06</t>
  </si>
  <si>
    <t>SEGURIDAD Y CONVIVENCIA</t>
  </si>
  <si>
    <t>Cualificación y fortalecimiento institucional para la seguridad ciudadana</t>
  </si>
  <si>
    <t>331-10-06-22</t>
  </si>
  <si>
    <t>Desarrollo normativo y fortalecimiento de la acción coordinada entre las autoridades de policia y la ciudadania</t>
  </si>
  <si>
    <t>331-10-06-23</t>
  </si>
  <si>
    <t>Promoción de la solidaridad y compromiso para la convivencia ciudadana</t>
  </si>
  <si>
    <t>331-10-06-24</t>
  </si>
  <si>
    <t>Fomento al buen uso del tiempo libre y el espacio público</t>
  </si>
  <si>
    <t>331-10-06-25</t>
  </si>
  <si>
    <t>Prevención de riesgos y atención de emergencia</t>
  </si>
  <si>
    <t>331-10-07</t>
  </si>
  <si>
    <t>EFICIENCIA INSTITUCIONAL</t>
  </si>
  <si>
    <t>331-10-07-26</t>
  </si>
  <si>
    <t>Fortalecimiento de la descentralización</t>
  </si>
  <si>
    <t>331-10-07-27</t>
  </si>
  <si>
    <t>Modernización y fortalecimiento de la gestión pública</t>
  </si>
  <si>
    <t>331-10-07-28</t>
  </si>
  <si>
    <t>Participación ciudadana</t>
  </si>
  <si>
    <t>PASIVOS EXIGIBLES</t>
  </si>
  <si>
    <t>336-01</t>
  </si>
  <si>
    <t>RESERVAS PRESUPUESTALES</t>
  </si>
  <si>
    <t>336-02</t>
  </si>
  <si>
    <t>CUENTAS POR PAGAR</t>
  </si>
  <si>
    <t>336-03</t>
  </si>
  <si>
    <t>PASIVOS EXIGIBLES FDL</t>
  </si>
  <si>
    <t>TOTAL GASTOS E INVERSION</t>
  </si>
  <si>
    <t>DISPONIBILIDAD FINAL</t>
  </si>
  <si>
    <t>TOTAL GASTOS + DISPONIBILIDAD FINAL</t>
  </si>
  <si>
    <t>FONDO DE DESARROLLO LOCAL DE CHAPINERO</t>
  </si>
  <si>
    <t>Ampliación y mejoramiento de la infraestructura vial y de servicios publicos</t>
  </si>
  <si>
    <t>331-10-07-29</t>
  </si>
  <si>
    <t>FONDO DE DESARROLLO LOCAL DE SANTAFE</t>
  </si>
  <si>
    <t>331-10-03-13</t>
  </si>
  <si>
    <t>331-10-06-21</t>
  </si>
  <si>
    <t>FONDO DE DESARROLLO LOCAL DE USME</t>
  </si>
  <si>
    <t>331-10-05-</t>
  </si>
  <si>
    <t>331-10-05-20</t>
  </si>
  <si>
    <t>FONDO DE DESARROLLO LOCAL DE SAN CRISTOBAL</t>
  </si>
  <si>
    <t>PRESUPUESTO</t>
  </si>
  <si>
    <t xml:space="preserve">% </t>
  </si>
  <si>
    <t>TOTAL</t>
  </si>
  <si>
    <t>CONTRALORIA DE BOGOTA</t>
  </si>
  <si>
    <t>DIRECCION DE ECONOMIA Y FINANZAS</t>
  </si>
  <si>
    <t>SUBDIRECCION DE ANALISIS ECONOMICO</t>
  </si>
  <si>
    <t>Y ESTADISTICAS FISCALES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</si>
</sst>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88" fontId="1" fillId="0" borderId="3" xfId="0" applyNumberFormat="1" applyFont="1" applyBorder="1" applyAlignment="1">
      <alignment/>
    </xf>
    <xf numFmtId="188" fontId="0" fillId="0" borderId="3" xfId="0" applyNumberFormat="1" applyBorder="1" applyAlignment="1">
      <alignment/>
    </xf>
    <xf numFmtId="188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88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88" fontId="1" fillId="0" borderId="9" xfId="0" applyNumberFormat="1" applyFont="1" applyBorder="1" applyAlignment="1">
      <alignment/>
    </xf>
    <xf numFmtId="188" fontId="0" fillId="0" borderId="9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188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7" xfId="0" applyFont="1" applyBorder="1" applyAlignment="1">
      <alignment horizontal="center"/>
    </xf>
    <xf numFmtId="188" fontId="1" fillId="0" borderId="14" xfId="0" applyNumberFormat="1" applyFont="1" applyBorder="1" applyAlignment="1">
      <alignment/>
    </xf>
    <xf numFmtId="188" fontId="0" fillId="0" borderId="8" xfId="0" applyNumberFormat="1" applyBorder="1" applyAlignment="1">
      <alignment/>
    </xf>
    <xf numFmtId="188" fontId="0" fillId="0" borderId="9" xfId="0" applyNumberFormat="1" applyFont="1" applyBorder="1" applyAlignment="1">
      <alignment/>
    </xf>
    <xf numFmtId="188" fontId="1" fillId="0" borderId="8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 wrapText="1"/>
    </xf>
    <xf numFmtId="0" fontId="1" fillId="0" borderId="21" xfId="0" applyFont="1" applyBorder="1" applyAlignment="1">
      <alignment horizontal="center"/>
    </xf>
    <xf numFmtId="0" fontId="0" fillId="0" borderId="7" xfId="0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justify" vertical="justify" wrapText="1"/>
    </xf>
    <xf numFmtId="188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workbookViewId="0" topLeftCell="A1">
      <selection activeCell="C1" sqref="C1:I1"/>
    </sheetView>
  </sheetViews>
  <sheetFormatPr defaultColWidth="11.421875" defaultRowHeight="12.75"/>
  <cols>
    <col min="1" max="1" width="11.7109375" style="0" bestFit="1" customWidth="1"/>
    <col min="2" max="2" width="37.140625" style="0" customWidth="1"/>
    <col min="3" max="4" width="14.00390625" style="0" customWidth="1"/>
    <col min="5" max="5" width="15.00390625" style="0" customWidth="1"/>
    <col min="6" max="6" width="14.421875" style="0" customWidth="1"/>
    <col min="7" max="7" width="9.7109375" style="0" customWidth="1"/>
    <col min="8" max="8" width="15.00390625" style="0" customWidth="1"/>
    <col min="9" max="9" width="7.140625" style="0" customWidth="1"/>
    <col min="10" max="10" width="14.00390625" style="0" customWidth="1"/>
    <col min="11" max="11" width="11.140625" style="0" customWidth="1"/>
  </cols>
  <sheetData>
    <row r="1" spans="1:11" ht="12.75">
      <c r="A1" s="56" t="s">
        <v>93</v>
      </c>
      <c r="B1" s="13"/>
      <c r="C1" s="54" t="s">
        <v>0</v>
      </c>
      <c r="D1" s="54"/>
      <c r="E1" s="54"/>
      <c r="F1" s="54"/>
      <c r="G1" s="54"/>
      <c r="H1" s="54"/>
      <c r="I1" s="54"/>
      <c r="J1" s="13"/>
      <c r="K1" s="13"/>
    </row>
    <row r="2" spans="1:11" ht="12.75">
      <c r="A2" s="56" t="s">
        <v>94</v>
      </c>
      <c r="B2" s="13"/>
      <c r="C2" s="54" t="s">
        <v>1</v>
      </c>
      <c r="D2" s="54"/>
      <c r="E2" s="54"/>
      <c r="F2" s="54"/>
      <c r="G2" s="54"/>
      <c r="H2" s="54"/>
      <c r="I2" s="54"/>
      <c r="J2" s="13"/>
      <c r="K2" s="13"/>
    </row>
    <row r="3" spans="1:11" ht="12.75">
      <c r="A3" s="56" t="s">
        <v>95</v>
      </c>
      <c r="B3" s="13"/>
      <c r="C3" s="55" t="s">
        <v>2</v>
      </c>
      <c r="D3" s="55"/>
      <c r="E3" s="55"/>
      <c r="F3" s="55"/>
      <c r="G3" s="55"/>
      <c r="H3" s="55"/>
      <c r="I3" s="55"/>
      <c r="J3" s="13"/>
      <c r="K3" s="13"/>
    </row>
    <row r="4" spans="1:11" ht="13.5" thickBot="1">
      <c r="A4" s="56" t="s">
        <v>96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7"/>
      <c r="B5" s="34"/>
      <c r="C5" s="40" t="s">
        <v>90</v>
      </c>
      <c r="D5" s="25"/>
      <c r="E5" s="30"/>
      <c r="F5" s="40" t="s">
        <v>10</v>
      </c>
      <c r="G5" s="25"/>
      <c r="H5" s="25"/>
      <c r="I5" s="25"/>
      <c r="J5" s="25"/>
      <c r="K5" s="30"/>
    </row>
    <row r="6" spans="1:11" ht="13.5" thickBot="1">
      <c r="A6" s="31" t="s">
        <v>3</v>
      </c>
      <c r="B6" s="35" t="s">
        <v>4</v>
      </c>
      <c r="C6" s="31" t="s">
        <v>5</v>
      </c>
      <c r="D6" s="32" t="s">
        <v>6</v>
      </c>
      <c r="E6" s="33" t="s">
        <v>7</v>
      </c>
      <c r="F6" s="31" t="s">
        <v>8</v>
      </c>
      <c r="G6" s="32" t="s">
        <v>91</v>
      </c>
      <c r="H6" s="32" t="s">
        <v>9</v>
      </c>
      <c r="I6" s="32" t="s">
        <v>91</v>
      </c>
      <c r="J6" s="32" t="s">
        <v>92</v>
      </c>
      <c r="K6" s="33" t="s">
        <v>11</v>
      </c>
    </row>
    <row r="7" spans="1:11" ht="12.75">
      <c r="A7" s="28" t="s">
        <v>12</v>
      </c>
      <c r="B7" s="36" t="s">
        <v>13</v>
      </c>
      <c r="C7" s="41">
        <f>SUM(C8:C13)</f>
        <v>1050345.109</v>
      </c>
      <c r="D7" s="12">
        <f>SUM(D8:D13)</f>
        <v>-42878.634</v>
      </c>
      <c r="E7" s="29">
        <f>+C7+D7</f>
        <v>1007466.475</v>
      </c>
      <c r="F7" s="41">
        <f>SUM(F8:F13)</f>
        <v>1800</v>
      </c>
      <c r="G7" s="12">
        <f aca="true" t="shared" si="0" ref="G7:G43">+F7/E7*100</f>
        <v>0.17866599481635356</v>
      </c>
      <c r="H7" s="12">
        <f>SUM(H8:H13)</f>
        <v>877971.825</v>
      </c>
      <c r="I7" s="12">
        <f aca="true" t="shared" si="1" ref="I7:I43">+H7/E7*100</f>
        <v>87.1465052968636</v>
      </c>
      <c r="J7" s="12">
        <f aca="true" t="shared" si="2" ref="J7:J23">+F7+H7</f>
        <v>879771.825</v>
      </c>
      <c r="K7" s="29">
        <f aca="true" t="shared" si="3" ref="K7:K43">+J7/E7*100</f>
        <v>87.32517129167995</v>
      </c>
    </row>
    <row r="8" spans="1:11" ht="25.5">
      <c r="A8" s="18" t="s">
        <v>14</v>
      </c>
      <c r="B8" s="37" t="s">
        <v>15</v>
      </c>
      <c r="C8" s="42">
        <v>728625.815</v>
      </c>
      <c r="D8" s="9"/>
      <c r="E8" s="43">
        <f>+C8+D8</f>
        <v>728625.815</v>
      </c>
      <c r="F8" s="42">
        <v>1800</v>
      </c>
      <c r="G8" s="10">
        <f t="shared" si="0"/>
        <v>0.24704038244925483</v>
      </c>
      <c r="H8" s="9">
        <f>723789.154-F8</f>
        <v>721989.154</v>
      </c>
      <c r="I8" s="10">
        <f t="shared" si="1"/>
        <v>99.08915373798554</v>
      </c>
      <c r="J8" s="9">
        <f t="shared" si="2"/>
        <v>723789.154</v>
      </c>
      <c r="K8" s="20">
        <f t="shared" si="3"/>
        <v>99.33619412043478</v>
      </c>
    </row>
    <row r="9" spans="1:11" ht="25.5">
      <c r="A9" s="18" t="s">
        <v>16</v>
      </c>
      <c r="B9" s="37" t="s">
        <v>17</v>
      </c>
      <c r="C9" s="42">
        <v>162195.486</v>
      </c>
      <c r="D9" s="9">
        <v>-42878.634</v>
      </c>
      <c r="E9" s="43">
        <f aca="true" t="shared" si="4" ref="E9:E36">+C9+D9</f>
        <v>119316.85200000001</v>
      </c>
      <c r="F9" s="42"/>
      <c r="G9" s="10">
        <f t="shared" si="0"/>
        <v>0</v>
      </c>
      <c r="H9" s="9">
        <f>55982.671-F9</f>
        <v>55982.671</v>
      </c>
      <c r="I9" s="10">
        <f t="shared" si="1"/>
        <v>46.91933290362035</v>
      </c>
      <c r="J9" s="9">
        <f t="shared" si="2"/>
        <v>55982.671</v>
      </c>
      <c r="K9" s="20">
        <f t="shared" si="3"/>
        <v>46.91933290362035</v>
      </c>
    </row>
    <row r="10" spans="1:11" ht="38.25" hidden="1">
      <c r="A10" s="18" t="s">
        <v>18</v>
      </c>
      <c r="B10" s="37" t="s">
        <v>19</v>
      </c>
      <c r="C10" s="42">
        <v>0</v>
      </c>
      <c r="D10" s="9"/>
      <c r="E10" s="43">
        <f t="shared" si="4"/>
        <v>0</v>
      </c>
      <c r="F10" s="42"/>
      <c r="G10" s="10" t="e">
        <f t="shared" si="0"/>
        <v>#DIV/0!</v>
      </c>
      <c r="H10" s="9"/>
      <c r="I10" s="10" t="e">
        <f t="shared" si="1"/>
        <v>#DIV/0!</v>
      </c>
      <c r="J10" s="9">
        <f t="shared" si="2"/>
        <v>0</v>
      </c>
      <c r="K10" s="20" t="e">
        <f t="shared" si="3"/>
        <v>#DIV/0!</v>
      </c>
    </row>
    <row r="11" spans="1:11" ht="25.5">
      <c r="A11" s="18" t="s">
        <v>20</v>
      </c>
      <c r="B11" s="37" t="s">
        <v>21</v>
      </c>
      <c r="C11" s="42">
        <v>159523.808</v>
      </c>
      <c r="D11" s="9"/>
      <c r="E11" s="43">
        <f t="shared" si="4"/>
        <v>159523.808</v>
      </c>
      <c r="F11" s="42"/>
      <c r="G11" s="10">
        <f t="shared" si="0"/>
        <v>0</v>
      </c>
      <c r="H11" s="9">
        <f>100000-F11</f>
        <v>100000</v>
      </c>
      <c r="I11" s="10">
        <f t="shared" si="1"/>
        <v>62.686567762976175</v>
      </c>
      <c r="J11" s="9">
        <f t="shared" si="2"/>
        <v>100000</v>
      </c>
      <c r="K11" s="20">
        <f t="shared" si="3"/>
        <v>62.686567762976175</v>
      </c>
    </row>
    <row r="12" spans="1:11" ht="25.5" hidden="1">
      <c r="A12" s="18" t="s">
        <v>22</v>
      </c>
      <c r="B12" s="37" t="s">
        <v>23</v>
      </c>
      <c r="C12" s="42">
        <v>0</v>
      </c>
      <c r="D12" s="9"/>
      <c r="E12" s="43">
        <f t="shared" si="4"/>
        <v>0</v>
      </c>
      <c r="F12" s="42"/>
      <c r="G12" s="10" t="e">
        <f t="shared" si="0"/>
        <v>#DIV/0!</v>
      </c>
      <c r="H12" s="9"/>
      <c r="I12" s="10" t="e">
        <f t="shared" si="1"/>
        <v>#DIV/0!</v>
      </c>
      <c r="J12" s="9">
        <f t="shared" si="2"/>
        <v>0</v>
      </c>
      <c r="K12" s="20" t="e">
        <f t="shared" si="3"/>
        <v>#DIV/0!</v>
      </c>
    </row>
    <row r="13" spans="1:11" ht="12.75" hidden="1">
      <c r="A13" s="18" t="s">
        <v>24</v>
      </c>
      <c r="B13" s="37" t="s">
        <v>25</v>
      </c>
      <c r="C13" s="42">
        <v>0</v>
      </c>
      <c r="D13" s="9"/>
      <c r="E13" s="43">
        <f t="shared" si="4"/>
        <v>0</v>
      </c>
      <c r="F13" s="42"/>
      <c r="G13" s="10" t="e">
        <f t="shared" si="0"/>
        <v>#DIV/0!</v>
      </c>
      <c r="H13" s="9"/>
      <c r="I13" s="10" t="e">
        <f t="shared" si="1"/>
        <v>#DIV/0!</v>
      </c>
      <c r="J13" s="9">
        <f t="shared" si="2"/>
        <v>0</v>
      </c>
      <c r="K13" s="20" t="e">
        <f t="shared" si="3"/>
        <v>#DIV/0!</v>
      </c>
    </row>
    <row r="14" spans="1:11" ht="12.75">
      <c r="A14" s="18" t="s">
        <v>26</v>
      </c>
      <c r="B14" s="38" t="s">
        <v>27</v>
      </c>
      <c r="C14" s="44">
        <f>SUM(C15:C17)</f>
        <v>1251060.52</v>
      </c>
      <c r="D14" s="8">
        <f>SUM(D15:D17)</f>
        <v>0</v>
      </c>
      <c r="E14" s="19">
        <f t="shared" si="4"/>
        <v>1251060.52</v>
      </c>
      <c r="F14" s="44">
        <f>SUM(F15:F17)</f>
        <v>0</v>
      </c>
      <c r="G14" s="8">
        <f t="shared" si="0"/>
        <v>0</v>
      </c>
      <c r="H14" s="8">
        <f>SUM(H15:H17)</f>
        <v>676895.058</v>
      </c>
      <c r="I14" s="8">
        <f t="shared" si="1"/>
        <v>54.10570049800628</v>
      </c>
      <c r="J14" s="8">
        <f t="shared" si="2"/>
        <v>676895.058</v>
      </c>
      <c r="K14" s="19">
        <f t="shared" si="3"/>
        <v>54.10570049800628</v>
      </c>
    </row>
    <row r="15" spans="1:11" ht="25.5">
      <c r="A15" s="18" t="s">
        <v>28</v>
      </c>
      <c r="B15" s="37" t="s">
        <v>29</v>
      </c>
      <c r="C15" s="42">
        <v>520200</v>
      </c>
      <c r="D15" s="9"/>
      <c r="E15" s="43">
        <f t="shared" si="4"/>
        <v>520200</v>
      </c>
      <c r="F15" s="42"/>
      <c r="G15" s="10">
        <f t="shared" si="0"/>
        <v>0</v>
      </c>
      <c r="H15" s="9">
        <f>222808.223-F15</f>
        <v>222808.223</v>
      </c>
      <c r="I15" s="10">
        <f t="shared" si="1"/>
        <v>42.83126163014225</v>
      </c>
      <c r="J15" s="9">
        <f t="shared" si="2"/>
        <v>222808.223</v>
      </c>
      <c r="K15" s="20">
        <f t="shared" si="3"/>
        <v>42.83126163014225</v>
      </c>
    </row>
    <row r="16" spans="1:11" ht="25.5" hidden="1">
      <c r="A16" s="18" t="s">
        <v>30</v>
      </c>
      <c r="B16" s="37" t="s">
        <v>31</v>
      </c>
      <c r="C16" s="42">
        <v>0</v>
      </c>
      <c r="D16" s="9"/>
      <c r="E16" s="43">
        <f t="shared" si="4"/>
        <v>0</v>
      </c>
      <c r="F16" s="42"/>
      <c r="G16" s="10" t="e">
        <f t="shared" si="0"/>
        <v>#DIV/0!</v>
      </c>
      <c r="H16" s="9"/>
      <c r="I16" s="10" t="e">
        <f t="shared" si="1"/>
        <v>#DIV/0!</v>
      </c>
      <c r="J16" s="9">
        <f t="shared" si="2"/>
        <v>0</v>
      </c>
      <c r="K16" s="20" t="e">
        <f t="shared" si="3"/>
        <v>#DIV/0!</v>
      </c>
    </row>
    <row r="17" spans="1:11" ht="38.25">
      <c r="A17" s="18" t="s">
        <v>32</v>
      </c>
      <c r="B17" s="37" t="s">
        <v>33</v>
      </c>
      <c r="C17" s="42">
        <v>730860.52</v>
      </c>
      <c r="D17" s="9"/>
      <c r="E17" s="43">
        <f t="shared" si="4"/>
        <v>730860.52</v>
      </c>
      <c r="F17" s="42"/>
      <c r="G17" s="10">
        <f t="shared" si="0"/>
        <v>0</v>
      </c>
      <c r="H17" s="9">
        <f>454086.835-F17</f>
        <v>454086.835</v>
      </c>
      <c r="I17" s="10">
        <f t="shared" si="1"/>
        <v>62.13043700869216</v>
      </c>
      <c r="J17" s="9">
        <f t="shared" si="2"/>
        <v>454086.835</v>
      </c>
      <c r="K17" s="20">
        <f t="shared" si="3"/>
        <v>62.13043700869216</v>
      </c>
    </row>
    <row r="18" spans="1:11" ht="12.75">
      <c r="A18" s="18" t="s">
        <v>34</v>
      </c>
      <c r="B18" s="38" t="s">
        <v>35</v>
      </c>
      <c r="C18" s="44">
        <f>SUM(C19:C21)</f>
        <v>823534.3640000001</v>
      </c>
      <c r="D18" s="8">
        <f>SUM(D19:D21)</f>
        <v>88000</v>
      </c>
      <c r="E18" s="43">
        <f t="shared" si="4"/>
        <v>911534.3640000001</v>
      </c>
      <c r="F18" s="44">
        <f>SUM(F19:F21)</f>
        <v>2199.479</v>
      </c>
      <c r="G18" s="8">
        <f t="shared" si="0"/>
        <v>0.24129413951529308</v>
      </c>
      <c r="H18" s="8">
        <f>SUM(H19:H21)</f>
        <v>866305.946</v>
      </c>
      <c r="I18" s="8">
        <f t="shared" si="1"/>
        <v>95.03821032028584</v>
      </c>
      <c r="J18" s="8">
        <f t="shared" si="2"/>
        <v>868505.425</v>
      </c>
      <c r="K18" s="19">
        <f t="shared" si="3"/>
        <v>95.27950445980115</v>
      </c>
    </row>
    <row r="19" spans="1:11" ht="25.5">
      <c r="A19" s="18" t="s">
        <v>36</v>
      </c>
      <c r="B19" s="37" t="s">
        <v>37</v>
      </c>
      <c r="C19" s="42">
        <v>520200</v>
      </c>
      <c r="D19" s="9"/>
      <c r="E19" s="43">
        <f t="shared" si="4"/>
        <v>520200</v>
      </c>
      <c r="F19" s="42">
        <v>2199.479</v>
      </c>
      <c r="G19" s="10">
        <f t="shared" si="0"/>
        <v>0.4228141099577086</v>
      </c>
      <c r="H19" s="9">
        <f>519835.75-F19</f>
        <v>517636.271</v>
      </c>
      <c r="I19" s="10">
        <f t="shared" si="1"/>
        <v>99.5071647443291</v>
      </c>
      <c r="J19" s="9">
        <f t="shared" si="2"/>
        <v>519835.75</v>
      </c>
      <c r="K19" s="20">
        <f t="shared" si="3"/>
        <v>99.92997885428682</v>
      </c>
    </row>
    <row r="20" spans="1:11" ht="38.25">
      <c r="A20" s="18" t="s">
        <v>38</v>
      </c>
      <c r="B20" s="37" t="s">
        <v>39</v>
      </c>
      <c r="C20" s="42">
        <v>303334.364</v>
      </c>
      <c r="D20" s="9">
        <v>88000</v>
      </c>
      <c r="E20" s="43">
        <f t="shared" si="4"/>
        <v>391334.364</v>
      </c>
      <c r="F20" s="42"/>
      <c r="G20" s="10">
        <f t="shared" si="0"/>
        <v>0</v>
      </c>
      <c r="H20" s="9">
        <f>348669.675-F20</f>
        <v>348669.675</v>
      </c>
      <c r="I20" s="10">
        <f t="shared" si="1"/>
        <v>89.09763799838441</v>
      </c>
      <c r="J20" s="9">
        <f t="shared" si="2"/>
        <v>348669.675</v>
      </c>
      <c r="K20" s="20">
        <f t="shared" si="3"/>
        <v>89.09763799838441</v>
      </c>
    </row>
    <row r="21" spans="1:11" ht="12.75" hidden="1">
      <c r="A21" s="18" t="s">
        <v>40</v>
      </c>
      <c r="B21" s="37" t="s">
        <v>41</v>
      </c>
      <c r="C21" s="42">
        <v>0</v>
      </c>
      <c r="D21" s="9"/>
      <c r="E21" s="43">
        <f t="shared" si="4"/>
        <v>0</v>
      </c>
      <c r="F21" s="42"/>
      <c r="G21" s="10" t="e">
        <f t="shared" si="0"/>
        <v>#DIV/0!</v>
      </c>
      <c r="H21" s="9"/>
      <c r="I21" s="10" t="e">
        <f t="shared" si="1"/>
        <v>#DIV/0!</v>
      </c>
      <c r="J21" s="9">
        <f t="shared" si="2"/>
        <v>0</v>
      </c>
      <c r="K21" s="20" t="e">
        <f t="shared" si="3"/>
        <v>#DIV/0!</v>
      </c>
    </row>
    <row r="22" spans="1:11" ht="12.75">
      <c r="A22" s="18" t="s">
        <v>42</v>
      </c>
      <c r="B22" s="38" t="s">
        <v>43</v>
      </c>
      <c r="C22" s="44">
        <f>SUM(C23)</f>
        <v>668000</v>
      </c>
      <c r="D22" s="8">
        <f>SUM(D23)</f>
        <v>451489.704</v>
      </c>
      <c r="E22" s="43">
        <f t="shared" si="4"/>
        <v>1119489.704</v>
      </c>
      <c r="F22" s="44">
        <f>SUM(F23)</f>
        <v>0</v>
      </c>
      <c r="G22" s="8">
        <f t="shared" si="0"/>
        <v>0</v>
      </c>
      <c r="H22" s="8">
        <f>SUM(H23)</f>
        <v>1103446.867</v>
      </c>
      <c r="I22" s="8">
        <f t="shared" si="1"/>
        <v>98.56695091141277</v>
      </c>
      <c r="J22" s="8">
        <f t="shared" si="2"/>
        <v>1103446.867</v>
      </c>
      <c r="K22" s="19">
        <f t="shared" si="3"/>
        <v>98.56695091141277</v>
      </c>
    </row>
    <row r="23" spans="1:11" ht="12.75">
      <c r="A23" s="18" t="s">
        <v>44</v>
      </c>
      <c r="B23" s="37" t="s">
        <v>45</v>
      </c>
      <c r="C23" s="42">
        <v>668000</v>
      </c>
      <c r="D23" s="9">
        <v>451489.704</v>
      </c>
      <c r="E23" s="43">
        <f t="shared" si="4"/>
        <v>1119489.704</v>
      </c>
      <c r="F23" s="42"/>
      <c r="G23" s="10">
        <f t="shared" si="0"/>
        <v>0</v>
      </c>
      <c r="H23" s="9">
        <v>1103446.867</v>
      </c>
      <c r="I23" s="10">
        <f t="shared" si="1"/>
        <v>98.56695091141277</v>
      </c>
      <c r="J23" s="9">
        <f t="shared" si="2"/>
        <v>1103446.867</v>
      </c>
      <c r="K23" s="20">
        <f t="shared" si="3"/>
        <v>98.56695091141277</v>
      </c>
    </row>
    <row r="24" spans="1:11" ht="12.75" hidden="1">
      <c r="A24" s="18" t="s">
        <v>46</v>
      </c>
      <c r="B24" s="38" t="s">
        <v>47</v>
      </c>
      <c r="C24" s="44">
        <f>SUM(C25:C26)</f>
        <v>0</v>
      </c>
      <c r="D24" s="8">
        <f>SUM(D25:D26)</f>
        <v>0</v>
      </c>
      <c r="E24" s="43">
        <f t="shared" si="4"/>
        <v>0</v>
      </c>
      <c r="F24" s="44">
        <f>SUM(F25:F26)</f>
        <v>0</v>
      </c>
      <c r="G24" s="8" t="e">
        <f t="shared" si="0"/>
        <v>#DIV/0!</v>
      </c>
      <c r="H24" s="8">
        <f>SUM(H25:H26)</f>
        <v>0</v>
      </c>
      <c r="I24" s="8" t="e">
        <f t="shared" si="1"/>
        <v>#DIV/0!</v>
      </c>
      <c r="J24" s="8" t="s">
        <v>48</v>
      </c>
      <c r="K24" s="19" t="e">
        <f t="shared" si="3"/>
        <v>#VALUE!</v>
      </c>
    </row>
    <row r="25" spans="1:11" ht="12.75" hidden="1">
      <c r="A25" s="18" t="s">
        <v>12</v>
      </c>
      <c r="B25" s="37" t="s">
        <v>49</v>
      </c>
      <c r="C25" s="42">
        <v>0</v>
      </c>
      <c r="D25" s="9"/>
      <c r="E25" s="43">
        <f t="shared" si="4"/>
        <v>0</v>
      </c>
      <c r="F25" s="42"/>
      <c r="G25" s="10" t="e">
        <f t="shared" si="0"/>
        <v>#DIV/0!</v>
      </c>
      <c r="H25" s="9"/>
      <c r="I25" s="10" t="e">
        <f t="shared" si="1"/>
        <v>#DIV/0!</v>
      </c>
      <c r="J25" s="9">
        <f aca="true" t="shared" si="5" ref="J25:J41">+F25+H25</f>
        <v>0</v>
      </c>
      <c r="K25" s="20" t="e">
        <f t="shared" si="3"/>
        <v>#DIV/0!</v>
      </c>
    </row>
    <row r="26" spans="1:11" ht="12.75" hidden="1">
      <c r="A26" s="18" t="s">
        <v>12</v>
      </c>
      <c r="B26" s="37" t="s">
        <v>50</v>
      </c>
      <c r="C26" s="42">
        <v>0</v>
      </c>
      <c r="D26" s="9"/>
      <c r="E26" s="43">
        <f t="shared" si="4"/>
        <v>0</v>
      </c>
      <c r="F26" s="42"/>
      <c r="G26" s="10" t="e">
        <f t="shared" si="0"/>
        <v>#DIV/0!</v>
      </c>
      <c r="H26" s="9"/>
      <c r="I26" s="10" t="e">
        <f t="shared" si="1"/>
        <v>#DIV/0!</v>
      </c>
      <c r="J26" s="9">
        <f t="shared" si="5"/>
        <v>0</v>
      </c>
      <c r="K26" s="20" t="e">
        <f t="shared" si="3"/>
        <v>#DIV/0!</v>
      </c>
    </row>
    <row r="27" spans="1:11" ht="12.75">
      <c r="A27" s="18" t="s">
        <v>51</v>
      </c>
      <c r="B27" s="38" t="s">
        <v>52</v>
      </c>
      <c r="C27" s="44">
        <f>SUM(C28:C32)</f>
        <v>818483.7509999999</v>
      </c>
      <c r="D27" s="8">
        <f>SUM(D28:D32)</f>
        <v>2500</v>
      </c>
      <c r="E27" s="43">
        <f t="shared" si="4"/>
        <v>820983.7509999999</v>
      </c>
      <c r="F27" s="44">
        <f>SUM(F28:F32)</f>
        <v>38982.305</v>
      </c>
      <c r="G27" s="8">
        <f t="shared" si="0"/>
        <v>4.748243184169914</v>
      </c>
      <c r="H27" s="8">
        <f>SUM(H28:H32)</f>
        <v>761501.401</v>
      </c>
      <c r="I27" s="8">
        <f t="shared" si="1"/>
        <v>92.75474698158794</v>
      </c>
      <c r="J27" s="8">
        <f t="shared" si="5"/>
        <v>800483.706</v>
      </c>
      <c r="K27" s="19">
        <f t="shared" si="3"/>
        <v>97.50299016575788</v>
      </c>
    </row>
    <row r="28" spans="1:11" ht="25.5" hidden="1">
      <c r="A28" s="18" t="s">
        <v>51</v>
      </c>
      <c r="B28" s="37" t="s">
        <v>53</v>
      </c>
      <c r="C28" s="42">
        <v>0</v>
      </c>
      <c r="D28" s="9"/>
      <c r="E28" s="43">
        <f t="shared" si="4"/>
        <v>0</v>
      </c>
      <c r="F28" s="42"/>
      <c r="G28" s="10" t="e">
        <f t="shared" si="0"/>
        <v>#DIV/0!</v>
      </c>
      <c r="H28" s="9"/>
      <c r="I28" s="10" t="e">
        <f t="shared" si="1"/>
        <v>#DIV/0!</v>
      </c>
      <c r="J28" s="9">
        <f t="shared" si="5"/>
        <v>0</v>
      </c>
      <c r="K28" s="20" t="e">
        <f t="shared" si="3"/>
        <v>#DIV/0!</v>
      </c>
    </row>
    <row r="29" spans="1:11" ht="38.25">
      <c r="A29" s="18" t="s">
        <v>54</v>
      </c>
      <c r="B29" s="37" t="s">
        <v>55</v>
      </c>
      <c r="C29" s="42">
        <v>244709.566</v>
      </c>
      <c r="D29" s="9"/>
      <c r="E29" s="43">
        <f t="shared" si="4"/>
        <v>244709.566</v>
      </c>
      <c r="F29" s="42"/>
      <c r="G29" s="10">
        <f t="shared" si="0"/>
        <v>0</v>
      </c>
      <c r="H29" s="9">
        <v>242766.324</v>
      </c>
      <c r="I29" s="10">
        <f t="shared" si="1"/>
        <v>99.20589863659029</v>
      </c>
      <c r="J29" s="9">
        <f t="shared" si="5"/>
        <v>242766.324</v>
      </c>
      <c r="K29" s="20">
        <f t="shared" si="3"/>
        <v>99.20589863659029</v>
      </c>
    </row>
    <row r="30" spans="1:11" ht="25.5">
      <c r="A30" s="18" t="s">
        <v>56</v>
      </c>
      <c r="B30" s="37" t="s">
        <v>57</v>
      </c>
      <c r="C30" s="42">
        <v>52200</v>
      </c>
      <c r="D30" s="9">
        <v>2500</v>
      </c>
      <c r="E30" s="43">
        <f t="shared" si="4"/>
        <v>54700</v>
      </c>
      <c r="F30" s="42"/>
      <c r="G30" s="10">
        <f t="shared" si="0"/>
        <v>0</v>
      </c>
      <c r="H30" s="9">
        <v>45050.999</v>
      </c>
      <c r="I30" s="10">
        <f t="shared" si="1"/>
        <v>82.36014442413163</v>
      </c>
      <c r="J30" s="9">
        <f t="shared" si="5"/>
        <v>45050.999</v>
      </c>
      <c r="K30" s="20">
        <f t="shared" si="3"/>
        <v>82.36014442413163</v>
      </c>
    </row>
    <row r="31" spans="1:11" ht="25.5">
      <c r="A31" s="18" t="s">
        <v>58</v>
      </c>
      <c r="B31" s="37" t="s">
        <v>59</v>
      </c>
      <c r="C31" s="42">
        <v>521574.185</v>
      </c>
      <c r="D31" s="9"/>
      <c r="E31" s="43">
        <f t="shared" si="4"/>
        <v>521574.185</v>
      </c>
      <c r="F31" s="42">
        <v>38982.305</v>
      </c>
      <c r="G31" s="10">
        <f t="shared" si="0"/>
        <v>7.4739713201104845</v>
      </c>
      <c r="H31" s="9">
        <f>512666.383-F31</f>
        <v>473684.078</v>
      </c>
      <c r="I31" s="10">
        <f t="shared" si="1"/>
        <v>90.81816002837641</v>
      </c>
      <c r="J31" s="9">
        <f t="shared" si="5"/>
        <v>512666.383</v>
      </c>
      <c r="K31" s="20">
        <f t="shared" si="3"/>
        <v>98.29213134848689</v>
      </c>
    </row>
    <row r="32" spans="1:11" ht="25.5" hidden="1">
      <c r="A32" s="18" t="s">
        <v>60</v>
      </c>
      <c r="B32" s="37" t="s">
        <v>61</v>
      </c>
      <c r="C32" s="42">
        <v>0</v>
      </c>
      <c r="D32" s="9"/>
      <c r="E32" s="43">
        <f t="shared" si="4"/>
        <v>0</v>
      </c>
      <c r="F32" s="42"/>
      <c r="G32" s="10" t="e">
        <f t="shared" si="0"/>
        <v>#DIV/0!</v>
      </c>
      <c r="H32" s="9"/>
      <c r="I32" s="10" t="e">
        <f t="shared" si="1"/>
        <v>#DIV/0!</v>
      </c>
      <c r="J32" s="9">
        <f t="shared" si="5"/>
        <v>0</v>
      </c>
      <c r="K32" s="20" t="e">
        <f t="shared" si="3"/>
        <v>#DIV/0!</v>
      </c>
    </row>
    <row r="33" spans="1:11" ht="12.75">
      <c r="A33" s="18" t="s">
        <v>62</v>
      </c>
      <c r="B33" s="38" t="s">
        <v>63</v>
      </c>
      <c r="C33" s="44">
        <f>SUM(C34:C36)</f>
        <v>1023951.906</v>
      </c>
      <c r="D33" s="8">
        <f>SUM(D34:D36)</f>
        <v>462800</v>
      </c>
      <c r="E33" s="43">
        <f t="shared" si="4"/>
        <v>1486751.906</v>
      </c>
      <c r="F33" s="44">
        <f>SUM(F34:F36)</f>
        <v>1036125.958</v>
      </c>
      <c r="G33" s="8">
        <f t="shared" si="0"/>
        <v>69.69057539583878</v>
      </c>
      <c r="H33" s="8">
        <f>SUM(H34:H36)</f>
        <v>285560.17199999996</v>
      </c>
      <c r="I33" s="8">
        <f t="shared" si="1"/>
        <v>19.206982069273362</v>
      </c>
      <c r="J33" s="8">
        <f t="shared" si="5"/>
        <v>1321686.13</v>
      </c>
      <c r="K33" s="19">
        <f t="shared" si="3"/>
        <v>88.89755746511213</v>
      </c>
    </row>
    <row r="34" spans="1:11" ht="12.75">
      <c r="A34" s="18" t="s">
        <v>64</v>
      </c>
      <c r="B34" s="37" t="s">
        <v>65</v>
      </c>
      <c r="C34" s="42">
        <v>714800</v>
      </c>
      <c r="D34" s="9">
        <v>289800</v>
      </c>
      <c r="E34" s="43">
        <f t="shared" si="4"/>
        <v>1004600</v>
      </c>
      <c r="F34" s="42">
        <v>769517.816</v>
      </c>
      <c r="G34" s="10">
        <f t="shared" si="0"/>
        <v>76.5994242484571</v>
      </c>
      <c r="H34" s="9">
        <f>923458.07-F34</f>
        <v>153940.25399999996</v>
      </c>
      <c r="I34" s="10">
        <f t="shared" si="1"/>
        <v>15.32353712920565</v>
      </c>
      <c r="J34" s="9">
        <f t="shared" si="5"/>
        <v>923458.07</v>
      </c>
      <c r="K34" s="20">
        <f t="shared" si="3"/>
        <v>91.92296137766274</v>
      </c>
    </row>
    <row r="35" spans="1:11" ht="25.5">
      <c r="A35" s="18" t="s">
        <v>66</v>
      </c>
      <c r="B35" s="37" t="s">
        <v>67</v>
      </c>
      <c r="C35" s="42">
        <v>309151.906</v>
      </c>
      <c r="D35" s="9">
        <v>173000</v>
      </c>
      <c r="E35" s="43">
        <f t="shared" si="4"/>
        <v>482151.906</v>
      </c>
      <c r="F35" s="42">
        <v>266608.142</v>
      </c>
      <c r="G35" s="10">
        <f t="shared" si="0"/>
        <v>55.295465740624905</v>
      </c>
      <c r="H35" s="9">
        <f>398228.06-F35</f>
        <v>131619.918</v>
      </c>
      <c r="I35" s="10">
        <f t="shared" si="1"/>
        <v>27.298433618553403</v>
      </c>
      <c r="J35" s="9">
        <f t="shared" si="5"/>
        <v>398228.06</v>
      </c>
      <c r="K35" s="20">
        <f t="shared" si="3"/>
        <v>82.59389935917831</v>
      </c>
    </row>
    <row r="36" spans="1:11" ht="12.75" hidden="1">
      <c r="A36" s="18" t="s">
        <v>68</v>
      </c>
      <c r="B36" s="37" t="s">
        <v>69</v>
      </c>
      <c r="C36" s="42">
        <v>0</v>
      </c>
      <c r="D36" s="9"/>
      <c r="E36" s="43">
        <f t="shared" si="4"/>
        <v>0</v>
      </c>
      <c r="F36" s="42"/>
      <c r="G36" s="10" t="e">
        <f t="shared" si="0"/>
        <v>#DIV/0!</v>
      </c>
      <c r="H36" s="9"/>
      <c r="I36" s="10" t="e">
        <f t="shared" si="1"/>
        <v>#DIV/0!</v>
      </c>
      <c r="J36" s="9">
        <f t="shared" si="5"/>
        <v>0</v>
      </c>
      <c r="K36" s="20" t="e">
        <f t="shared" si="3"/>
        <v>#DIV/0!</v>
      </c>
    </row>
    <row r="37" spans="1:11" ht="12.75">
      <c r="A37" s="26">
        <v>334</v>
      </c>
      <c r="B37" s="38" t="s">
        <v>70</v>
      </c>
      <c r="C37" s="44">
        <v>520200</v>
      </c>
      <c r="D37" s="8">
        <v>334484.123</v>
      </c>
      <c r="E37" s="19">
        <f>+C37+D37</f>
        <v>854684.123</v>
      </c>
      <c r="F37" s="44">
        <v>716015.272</v>
      </c>
      <c r="G37" s="8">
        <f t="shared" si="0"/>
        <v>83.77542681929519</v>
      </c>
      <c r="H37" s="8"/>
      <c r="I37" s="8">
        <f t="shared" si="1"/>
        <v>0</v>
      </c>
      <c r="J37" s="8">
        <f t="shared" si="5"/>
        <v>716015.272</v>
      </c>
      <c r="K37" s="19">
        <f t="shared" si="3"/>
        <v>83.77542681929519</v>
      </c>
    </row>
    <row r="38" spans="1:11" ht="12.75">
      <c r="A38" s="18" t="s">
        <v>71</v>
      </c>
      <c r="B38" s="37" t="s">
        <v>72</v>
      </c>
      <c r="C38" s="42">
        <v>0</v>
      </c>
      <c r="D38" s="8">
        <v>3873521.705</v>
      </c>
      <c r="E38" s="19">
        <f>+C38+D38</f>
        <v>3873521.705</v>
      </c>
      <c r="F38" s="44">
        <v>2880185.54</v>
      </c>
      <c r="G38" s="8">
        <f t="shared" si="0"/>
        <v>74.3557351513537</v>
      </c>
      <c r="H38" s="8">
        <f>3873521.705-F38</f>
        <v>993336.165</v>
      </c>
      <c r="I38" s="8">
        <f t="shared" si="1"/>
        <v>25.6442648486463</v>
      </c>
      <c r="J38" s="8">
        <f t="shared" si="5"/>
        <v>3873521.705</v>
      </c>
      <c r="K38" s="19">
        <f t="shared" si="3"/>
        <v>100</v>
      </c>
    </row>
    <row r="39" spans="1:11" ht="12.75">
      <c r="A39" s="18" t="s">
        <v>73</v>
      </c>
      <c r="B39" s="37" t="s">
        <v>74</v>
      </c>
      <c r="C39" s="42">
        <v>0</v>
      </c>
      <c r="D39" s="8">
        <v>248335.201</v>
      </c>
      <c r="E39" s="19">
        <f>+C39+D39</f>
        <v>248335.201</v>
      </c>
      <c r="F39" s="44">
        <v>248335.201</v>
      </c>
      <c r="G39" s="8">
        <f t="shared" si="0"/>
        <v>100</v>
      </c>
      <c r="H39" s="8"/>
      <c r="I39" s="8">
        <f t="shared" si="1"/>
        <v>0</v>
      </c>
      <c r="J39" s="8">
        <f t="shared" si="5"/>
        <v>248335.201</v>
      </c>
      <c r="K39" s="19">
        <f t="shared" si="3"/>
        <v>100</v>
      </c>
    </row>
    <row r="40" spans="1:11" ht="12.75">
      <c r="A40" s="18" t="s">
        <v>75</v>
      </c>
      <c r="B40" s="37" t="s">
        <v>76</v>
      </c>
      <c r="C40" s="42">
        <v>0</v>
      </c>
      <c r="D40" s="8">
        <v>174.395</v>
      </c>
      <c r="E40" s="19">
        <f>+C40+D40</f>
        <v>174.395</v>
      </c>
      <c r="F40" s="44">
        <v>78.936</v>
      </c>
      <c r="G40" s="8">
        <f t="shared" si="0"/>
        <v>45.26276556093925</v>
      </c>
      <c r="H40" s="8"/>
      <c r="I40" s="8">
        <f t="shared" si="1"/>
        <v>0</v>
      </c>
      <c r="J40" s="8">
        <f t="shared" si="5"/>
        <v>78.936</v>
      </c>
      <c r="K40" s="19">
        <f t="shared" si="3"/>
        <v>45.26276556093925</v>
      </c>
    </row>
    <row r="41" spans="1:11" ht="12.75">
      <c r="A41" s="21"/>
      <c r="B41" s="38" t="s">
        <v>77</v>
      </c>
      <c r="C41" s="44">
        <f>+C7+C14+C18+C22+C24+C27+C33+C37</f>
        <v>6155575.65</v>
      </c>
      <c r="D41" s="8">
        <f>+D7+D14+D18+D22+D24+D27+D33+D37+D38+D39+D40</f>
        <v>5418426.494</v>
      </c>
      <c r="E41" s="19">
        <f>+E7+E14+E18+E22+E24+E27+E33+E37+E38+E39+E40</f>
        <v>11574002.144</v>
      </c>
      <c r="F41" s="44">
        <f>+F7+F14+F18+F22+F24+F27+F33+F37+F38+F39+F40</f>
        <v>4923722.691</v>
      </c>
      <c r="G41" s="8">
        <f t="shared" si="0"/>
        <v>42.54122843369675</v>
      </c>
      <c r="H41" s="8">
        <f>+H7+H14+H18+H22+H24+H27+H33+H37+H38+H39+H40</f>
        <v>5565017.434</v>
      </c>
      <c r="I41" s="8">
        <f t="shared" si="1"/>
        <v>48.0820494480807</v>
      </c>
      <c r="J41" s="8">
        <f t="shared" si="5"/>
        <v>10488740.125</v>
      </c>
      <c r="K41" s="19">
        <f t="shared" si="3"/>
        <v>90.62327788177745</v>
      </c>
    </row>
    <row r="42" spans="1:11" ht="12.75">
      <c r="A42" s="26">
        <v>34</v>
      </c>
      <c r="B42" s="37" t="s">
        <v>78</v>
      </c>
      <c r="C42" s="44">
        <v>0</v>
      </c>
      <c r="D42" s="8">
        <v>212988.683</v>
      </c>
      <c r="E42" s="19">
        <f>+C42+D42</f>
        <v>212988.683</v>
      </c>
      <c r="F42" s="42">
        <v>0</v>
      </c>
      <c r="G42" s="10">
        <f t="shared" si="0"/>
        <v>0</v>
      </c>
      <c r="H42" s="9"/>
      <c r="I42" s="10">
        <f t="shared" si="1"/>
        <v>0</v>
      </c>
      <c r="J42" s="9"/>
      <c r="K42" s="20">
        <f t="shared" si="3"/>
        <v>0</v>
      </c>
    </row>
    <row r="43" spans="1:11" ht="26.25" thickBot="1">
      <c r="A43" s="27">
        <v>3</v>
      </c>
      <c r="B43" s="39" t="s">
        <v>79</v>
      </c>
      <c r="C43" s="45">
        <f>+C41+C42</f>
        <v>6155575.65</v>
      </c>
      <c r="D43" s="23">
        <f>+D41+D42</f>
        <v>5631415.177</v>
      </c>
      <c r="E43" s="24">
        <f>+C43+D43</f>
        <v>11786990.827</v>
      </c>
      <c r="F43" s="45">
        <f>+F41+F42</f>
        <v>4923722.691</v>
      </c>
      <c r="G43" s="23">
        <f t="shared" si="0"/>
        <v>41.772516524925265</v>
      </c>
      <c r="H43" s="23">
        <f>+H41+H42</f>
        <v>5565017.434</v>
      </c>
      <c r="I43" s="23">
        <f t="shared" si="1"/>
        <v>47.21321595714177</v>
      </c>
      <c r="J43" s="23">
        <f>+J41+J42</f>
        <v>10488740.125</v>
      </c>
      <c r="K43" s="24">
        <f t="shared" si="3"/>
        <v>88.98573248206702</v>
      </c>
    </row>
    <row r="44" spans="3:11" ht="12.75">
      <c r="C44" s="3"/>
      <c r="D44" s="3"/>
      <c r="E44" s="3"/>
      <c r="F44" s="3"/>
      <c r="G44" s="3"/>
      <c r="H44" s="3"/>
      <c r="I44" s="3"/>
      <c r="J44" s="3"/>
      <c r="K44" s="3"/>
    </row>
    <row r="45" spans="3:11" ht="12.75">
      <c r="C45" s="3"/>
      <c r="D45" s="3"/>
      <c r="E45" s="3"/>
      <c r="F45" s="3"/>
      <c r="G45" s="3"/>
      <c r="H45" s="3"/>
      <c r="I45" s="3"/>
      <c r="J45" s="3"/>
      <c r="K45" s="3"/>
    </row>
    <row r="46" spans="3:11" ht="12.75">
      <c r="C46" s="3"/>
      <c r="D46" s="3"/>
      <c r="E46" s="3"/>
      <c r="F46" s="3"/>
      <c r="G46" s="3"/>
      <c r="H46" s="3"/>
      <c r="I46" s="3"/>
      <c r="J46" s="3"/>
      <c r="K46" s="3"/>
    </row>
    <row r="47" spans="3:11" ht="12.75">
      <c r="C47" s="3"/>
      <c r="D47" s="3"/>
      <c r="E47" s="3"/>
      <c r="F47" s="3"/>
      <c r="G47" s="3"/>
      <c r="H47" s="3"/>
      <c r="I47" s="3"/>
      <c r="J47" s="3"/>
      <c r="K47" s="3"/>
    </row>
    <row r="48" spans="3:11" ht="12.75">
      <c r="C48" s="3"/>
      <c r="D48" s="3"/>
      <c r="E48" s="3"/>
      <c r="F48" s="3"/>
      <c r="G48" s="3"/>
      <c r="H48" s="3"/>
      <c r="I48" s="3"/>
      <c r="J48" s="3"/>
      <c r="K48" s="3"/>
    </row>
    <row r="49" spans="3:11" ht="12.75">
      <c r="C49" s="3"/>
      <c r="D49" s="3"/>
      <c r="E49" s="3"/>
      <c r="F49" s="3"/>
      <c r="G49" s="3"/>
      <c r="H49" s="3"/>
      <c r="I49" s="3"/>
      <c r="J49" s="3"/>
      <c r="K49" s="3"/>
    </row>
    <row r="50" spans="3:11" ht="12.75">
      <c r="C50" s="3"/>
      <c r="D50" s="3"/>
      <c r="E50" s="3"/>
      <c r="F50" s="3"/>
      <c r="G50" s="3"/>
      <c r="H50" s="3"/>
      <c r="I50" s="3"/>
      <c r="J50" s="3"/>
      <c r="K50" s="3"/>
    </row>
    <row r="51" spans="7:11" ht="12.75">
      <c r="G51" s="3"/>
      <c r="H51" s="3"/>
      <c r="I51" s="3"/>
      <c r="J51" s="3"/>
      <c r="K51" s="3"/>
    </row>
    <row r="52" spans="7:11" ht="12.75">
      <c r="G52" s="3"/>
      <c r="H52" s="3"/>
      <c r="I52" s="3"/>
      <c r="J52" s="3"/>
      <c r="K52" s="3"/>
    </row>
    <row r="53" spans="7:11" ht="12.75">
      <c r="G53" s="3"/>
      <c r="H53" s="3"/>
      <c r="I53" s="3"/>
      <c r="J53" s="3"/>
      <c r="K53" s="3"/>
    </row>
    <row r="54" spans="7:11" ht="12.75">
      <c r="G54" s="3"/>
      <c r="H54" s="3"/>
      <c r="I54" s="3"/>
      <c r="J54" s="3"/>
      <c r="K54" s="3"/>
    </row>
    <row r="55" spans="7:11" ht="12.75">
      <c r="G55" s="3"/>
      <c r="H55" s="3"/>
      <c r="I55" s="3"/>
      <c r="J55" s="3"/>
      <c r="K55" s="3"/>
    </row>
    <row r="56" spans="7:11" ht="12.75">
      <c r="G56" s="3"/>
      <c r="H56" s="3"/>
      <c r="I56" s="3"/>
      <c r="J56" s="3"/>
      <c r="K56" s="3"/>
    </row>
    <row r="57" spans="7:11" ht="12.75">
      <c r="G57" s="3"/>
      <c r="H57" s="3"/>
      <c r="I57" s="3"/>
      <c r="J57" s="3"/>
      <c r="K57" s="3"/>
    </row>
    <row r="58" spans="7:11" ht="12.75">
      <c r="G58" s="3"/>
      <c r="H58" s="3"/>
      <c r="I58" s="3"/>
      <c r="J58" s="3"/>
      <c r="K58" s="3"/>
    </row>
  </sheetData>
  <mergeCells count="5">
    <mergeCell ref="C5:E5"/>
    <mergeCell ref="F5:K5"/>
    <mergeCell ref="C1:I1"/>
    <mergeCell ref="C2:I2"/>
    <mergeCell ref="C3:I3"/>
  </mergeCells>
  <printOptions horizontalCentered="1" verticalCentered="1"/>
  <pageMargins left="0" right="0" top="0.5905511811023623" bottom="0.5905511811023623" header="0.54" footer="0.67"/>
  <pageSetup horizontalDpi="600" verticalDpi="600" orientation="landscape" scale="80" r:id="rId1"/>
  <headerFooter alignWithMargins="0">
    <oddFooter>&amp;LFuente: Ejecución presupuestal&amp;R&amp;Z&amp;F/rchg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I1"/>
    </sheetView>
  </sheetViews>
  <sheetFormatPr defaultColWidth="11.421875" defaultRowHeight="12.75"/>
  <cols>
    <col min="1" max="1" width="11.7109375" style="0" bestFit="1" customWidth="1"/>
    <col min="2" max="2" width="37.421875" style="0" customWidth="1"/>
    <col min="3" max="3" width="12.140625" style="0" customWidth="1"/>
    <col min="4" max="4" width="12.7109375" style="0" customWidth="1"/>
    <col min="5" max="5" width="12.57421875" style="0" customWidth="1"/>
    <col min="6" max="6" width="11.57421875" style="0" customWidth="1"/>
    <col min="7" max="7" width="7.57421875" style="0" customWidth="1"/>
    <col min="8" max="8" width="14.421875" style="0" customWidth="1"/>
    <col min="9" max="9" width="7.421875" style="0" customWidth="1"/>
    <col min="10" max="10" width="14.140625" style="0" customWidth="1"/>
    <col min="11" max="11" width="7.8515625" style="0" customWidth="1"/>
  </cols>
  <sheetData>
    <row r="1" spans="1:11" ht="12.75">
      <c r="A1" s="56" t="s">
        <v>93</v>
      </c>
      <c r="B1" s="13"/>
      <c r="C1" s="54" t="s">
        <v>80</v>
      </c>
      <c r="D1" s="54"/>
      <c r="E1" s="54"/>
      <c r="F1" s="54"/>
      <c r="G1" s="54"/>
      <c r="H1" s="54"/>
      <c r="I1" s="54"/>
      <c r="J1" s="13"/>
      <c r="K1" s="13"/>
    </row>
    <row r="2" spans="1:11" ht="12.75">
      <c r="A2" s="56" t="s">
        <v>94</v>
      </c>
      <c r="B2" s="13"/>
      <c r="C2" s="54" t="s">
        <v>1</v>
      </c>
      <c r="D2" s="54"/>
      <c r="E2" s="54"/>
      <c r="F2" s="54"/>
      <c r="G2" s="54"/>
      <c r="H2" s="54"/>
      <c r="I2" s="54"/>
      <c r="J2" s="13"/>
      <c r="K2" s="13"/>
    </row>
    <row r="3" spans="1:11" ht="12.75">
      <c r="A3" s="56" t="s">
        <v>95</v>
      </c>
      <c r="B3" s="13"/>
      <c r="C3" s="55" t="s">
        <v>2</v>
      </c>
      <c r="D3" s="55"/>
      <c r="E3" s="55"/>
      <c r="F3" s="55"/>
      <c r="G3" s="55"/>
      <c r="H3" s="55"/>
      <c r="I3" s="55"/>
      <c r="J3" s="13"/>
      <c r="K3" s="13"/>
    </row>
    <row r="4" spans="1:11" ht="13.5" thickBot="1">
      <c r="A4" s="56" t="s">
        <v>96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7"/>
      <c r="B5" s="34"/>
      <c r="C5" s="40" t="s">
        <v>90</v>
      </c>
      <c r="D5" s="25"/>
      <c r="E5" s="30"/>
      <c r="F5" s="40" t="s">
        <v>10</v>
      </c>
      <c r="G5" s="25"/>
      <c r="H5" s="25"/>
      <c r="I5" s="25"/>
      <c r="J5" s="25"/>
      <c r="K5" s="30"/>
    </row>
    <row r="6" spans="1:11" ht="13.5" thickBot="1">
      <c r="A6" s="31" t="s">
        <v>3</v>
      </c>
      <c r="B6" s="35" t="s">
        <v>4</v>
      </c>
      <c r="C6" s="31" t="s">
        <v>5</v>
      </c>
      <c r="D6" s="32" t="s">
        <v>6</v>
      </c>
      <c r="E6" s="33" t="s">
        <v>7</v>
      </c>
      <c r="F6" s="31" t="s">
        <v>8</v>
      </c>
      <c r="G6" s="32" t="s">
        <v>91</v>
      </c>
      <c r="H6" s="32" t="s">
        <v>9</v>
      </c>
      <c r="I6" s="32" t="s">
        <v>91</v>
      </c>
      <c r="J6" s="32" t="s">
        <v>92</v>
      </c>
      <c r="K6" s="33" t="s">
        <v>11</v>
      </c>
    </row>
    <row r="7" spans="1:11" ht="12.75">
      <c r="A7" s="49" t="s">
        <v>12</v>
      </c>
      <c r="B7" s="52" t="s">
        <v>13</v>
      </c>
      <c r="C7" s="53">
        <f>SUM(C8:C13)</f>
        <v>1279000</v>
      </c>
      <c r="D7" s="50">
        <f>SUM(D8:D13)</f>
        <v>-554510</v>
      </c>
      <c r="E7" s="51">
        <f>+C7+D7</f>
        <v>724490</v>
      </c>
      <c r="F7" s="53">
        <f>SUM(F8:F13)</f>
        <v>7702.378</v>
      </c>
      <c r="G7" s="50">
        <f aca="true" t="shared" si="0" ref="G7:G43">+F7/E7*100</f>
        <v>1.0631448329169486</v>
      </c>
      <c r="H7" s="50">
        <f>SUM(H8:H13)</f>
        <v>673211.249</v>
      </c>
      <c r="I7" s="50">
        <f aca="true" t="shared" si="1" ref="I7:I43">+H7/E7*100</f>
        <v>92.92208988391833</v>
      </c>
      <c r="J7" s="50">
        <f aca="true" t="shared" si="2" ref="J7:J23">+F7+H7</f>
        <v>680913.627</v>
      </c>
      <c r="K7" s="51">
        <f aca="true" t="shared" si="3" ref="K7:K43">+J7/E7*100</f>
        <v>93.9852347168353</v>
      </c>
    </row>
    <row r="8" spans="1:11" ht="25.5">
      <c r="A8" s="18" t="s">
        <v>14</v>
      </c>
      <c r="B8" s="37" t="s">
        <v>81</v>
      </c>
      <c r="C8" s="42">
        <v>650000</v>
      </c>
      <c r="D8" s="9">
        <v>37940</v>
      </c>
      <c r="E8" s="43">
        <f>+C8+D8</f>
        <v>687940</v>
      </c>
      <c r="F8" s="42">
        <v>7702.378</v>
      </c>
      <c r="G8" s="10">
        <f t="shared" si="0"/>
        <v>1.119629328139082</v>
      </c>
      <c r="H8" s="9">
        <f>647686.205-F8</f>
        <v>639983.8269999999</v>
      </c>
      <c r="I8" s="10">
        <f t="shared" si="1"/>
        <v>93.02901808297234</v>
      </c>
      <c r="J8" s="9">
        <f t="shared" si="2"/>
        <v>647686.205</v>
      </c>
      <c r="K8" s="20">
        <f t="shared" si="3"/>
        <v>94.14864741111143</v>
      </c>
    </row>
    <row r="9" spans="1:11" ht="25.5" hidden="1">
      <c r="A9" s="18" t="s">
        <v>16</v>
      </c>
      <c r="B9" s="37" t="s">
        <v>17</v>
      </c>
      <c r="C9" s="42">
        <v>0</v>
      </c>
      <c r="D9" s="9">
        <v>0</v>
      </c>
      <c r="E9" s="43">
        <f aca="true" t="shared" si="4" ref="E9:E43">+C9+D9</f>
        <v>0</v>
      </c>
      <c r="F9" s="42">
        <v>0</v>
      </c>
      <c r="G9" s="10" t="e">
        <f t="shared" si="0"/>
        <v>#DIV/0!</v>
      </c>
      <c r="H9" s="9">
        <v>0</v>
      </c>
      <c r="I9" s="10" t="e">
        <f t="shared" si="1"/>
        <v>#DIV/0!</v>
      </c>
      <c r="J9" s="9">
        <f t="shared" si="2"/>
        <v>0</v>
      </c>
      <c r="K9" s="20" t="e">
        <f t="shared" si="3"/>
        <v>#DIV/0!</v>
      </c>
    </row>
    <row r="10" spans="1:11" ht="38.25" hidden="1">
      <c r="A10" s="18" t="s">
        <v>18</v>
      </c>
      <c r="B10" s="37" t="s">
        <v>19</v>
      </c>
      <c r="C10" s="42">
        <v>0</v>
      </c>
      <c r="D10" s="9">
        <v>0</v>
      </c>
      <c r="E10" s="43">
        <f t="shared" si="4"/>
        <v>0</v>
      </c>
      <c r="F10" s="42">
        <v>0</v>
      </c>
      <c r="G10" s="10" t="e">
        <f t="shared" si="0"/>
        <v>#DIV/0!</v>
      </c>
      <c r="H10" s="9">
        <v>0</v>
      </c>
      <c r="I10" s="10" t="e">
        <f t="shared" si="1"/>
        <v>#DIV/0!</v>
      </c>
      <c r="J10" s="9">
        <f t="shared" si="2"/>
        <v>0</v>
      </c>
      <c r="K10" s="20" t="e">
        <f t="shared" si="3"/>
        <v>#DIV/0!</v>
      </c>
    </row>
    <row r="11" spans="1:11" ht="25.5">
      <c r="A11" s="18" t="s">
        <v>20</v>
      </c>
      <c r="B11" s="37" t="s">
        <v>21</v>
      </c>
      <c r="C11" s="42">
        <v>109000</v>
      </c>
      <c r="D11" s="9">
        <v>-72450</v>
      </c>
      <c r="E11" s="43">
        <f t="shared" si="4"/>
        <v>36550</v>
      </c>
      <c r="F11" s="42">
        <v>0</v>
      </c>
      <c r="G11" s="10">
        <f t="shared" si="0"/>
        <v>0</v>
      </c>
      <c r="H11" s="9">
        <v>33227.422</v>
      </c>
      <c r="I11" s="10">
        <f t="shared" si="1"/>
        <v>90.90949931600547</v>
      </c>
      <c r="J11" s="9">
        <f t="shared" si="2"/>
        <v>33227.422</v>
      </c>
      <c r="K11" s="20">
        <f t="shared" si="3"/>
        <v>90.90949931600547</v>
      </c>
    </row>
    <row r="12" spans="1:11" ht="25.5">
      <c r="A12" s="18" t="s">
        <v>22</v>
      </c>
      <c r="B12" s="37" t="s">
        <v>23</v>
      </c>
      <c r="C12" s="42">
        <v>520000</v>
      </c>
      <c r="D12" s="9">
        <v>-520000</v>
      </c>
      <c r="E12" s="43">
        <f t="shared" si="4"/>
        <v>0</v>
      </c>
      <c r="F12" s="42">
        <v>0</v>
      </c>
      <c r="G12" s="10" t="e">
        <f t="shared" si="0"/>
        <v>#DIV/0!</v>
      </c>
      <c r="H12" s="9">
        <v>0</v>
      </c>
      <c r="I12" s="10" t="e">
        <f t="shared" si="1"/>
        <v>#DIV/0!</v>
      </c>
      <c r="J12" s="9">
        <f t="shared" si="2"/>
        <v>0</v>
      </c>
      <c r="K12" s="20" t="e">
        <f t="shared" si="3"/>
        <v>#DIV/0!</v>
      </c>
    </row>
    <row r="13" spans="1:11" ht="12.75" hidden="1">
      <c r="A13" s="18" t="s">
        <v>24</v>
      </c>
      <c r="B13" s="37" t="s">
        <v>25</v>
      </c>
      <c r="C13" s="42">
        <v>0</v>
      </c>
      <c r="D13" s="9"/>
      <c r="E13" s="43">
        <f t="shared" si="4"/>
        <v>0</v>
      </c>
      <c r="F13" s="42"/>
      <c r="G13" s="10" t="e">
        <f t="shared" si="0"/>
        <v>#DIV/0!</v>
      </c>
      <c r="H13" s="9">
        <v>0</v>
      </c>
      <c r="I13" s="10" t="e">
        <f t="shared" si="1"/>
        <v>#DIV/0!</v>
      </c>
      <c r="J13" s="9">
        <f t="shared" si="2"/>
        <v>0</v>
      </c>
      <c r="K13" s="20" t="e">
        <f t="shared" si="3"/>
        <v>#DIV/0!</v>
      </c>
    </row>
    <row r="14" spans="1:11" ht="12.75">
      <c r="A14" s="18" t="s">
        <v>26</v>
      </c>
      <c r="B14" s="38" t="s">
        <v>27</v>
      </c>
      <c r="C14" s="44">
        <f>SUM(C15:C17)</f>
        <v>572131.36</v>
      </c>
      <c r="D14" s="8">
        <f>SUM(D15:D17)</f>
        <v>80000</v>
      </c>
      <c r="E14" s="19">
        <f t="shared" si="4"/>
        <v>652131.36</v>
      </c>
      <c r="F14" s="44">
        <f>SUM(F15:F17)</f>
        <v>15549.3</v>
      </c>
      <c r="G14" s="8">
        <f t="shared" si="0"/>
        <v>2.384381576129079</v>
      </c>
      <c r="H14" s="8">
        <f>SUM(H15:H17)</f>
        <v>426889.58</v>
      </c>
      <c r="I14" s="8">
        <f t="shared" si="1"/>
        <v>65.46067344468759</v>
      </c>
      <c r="J14" s="8">
        <f t="shared" si="2"/>
        <v>442438.88</v>
      </c>
      <c r="K14" s="19">
        <f t="shared" si="3"/>
        <v>67.84505502081667</v>
      </c>
    </row>
    <row r="15" spans="1:11" ht="12.75">
      <c r="A15" s="18" t="s">
        <v>28</v>
      </c>
      <c r="B15" s="37" t="s">
        <v>29</v>
      </c>
      <c r="C15" s="42">
        <v>52000</v>
      </c>
      <c r="D15" s="9">
        <v>0</v>
      </c>
      <c r="E15" s="43">
        <f t="shared" si="4"/>
        <v>52000</v>
      </c>
      <c r="F15" s="42">
        <v>0</v>
      </c>
      <c r="G15" s="10">
        <f t="shared" si="0"/>
        <v>0</v>
      </c>
      <c r="H15" s="9">
        <v>52000</v>
      </c>
      <c r="I15" s="10">
        <f t="shared" si="1"/>
        <v>100</v>
      </c>
      <c r="J15" s="9">
        <f t="shared" si="2"/>
        <v>52000</v>
      </c>
      <c r="K15" s="20">
        <f t="shared" si="3"/>
        <v>100</v>
      </c>
    </row>
    <row r="16" spans="1:11" ht="25.5" hidden="1">
      <c r="A16" s="18" t="s">
        <v>30</v>
      </c>
      <c r="B16" s="37" t="s">
        <v>31</v>
      </c>
      <c r="C16" s="42">
        <v>0</v>
      </c>
      <c r="D16" s="9">
        <v>0</v>
      </c>
      <c r="E16" s="43">
        <f t="shared" si="4"/>
        <v>0</v>
      </c>
      <c r="F16" s="42">
        <v>0</v>
      </c>
      <c r="G16" s="10" t="e">
        <f t="shared" si="0"/>
        <v>#DIV/0!</v>
      </c>
      <c r="H16" s="9">
        <v>0</v>
      </c>
      <c r="I16" s="10" t="e">
        <f t="shared" si="1"/>
        <v>#DIV/0!</v>
      </c>
      <c r="J16" s="9">
        <f t="shared" si="2"/>
        <v>0</v>
      </c>
      <c r="K16" s="20" t="e">
        <f t="shared" si="3"/>
        <v>#DIV/0!</v>
      </c>
    </row>
    <row r="17" spans="1:11" ht="38.25">
      <c r="A17" s="18" t="s">
        <v>32</v>
      </c>
      <c r="B17" s="37" t="s">
        <v>33</v>
      </c>
      <c r="C17" s="42">
        <v>520131.36</v>
      </c>
      <c r="D17" s="9">
        <v>80000</v>
      </c>
      <c r="E17" s="43">
        <f t="shared" si="4"/>
        <v>600131.36</v>
      </c>
      <c r="F17" s="42">
        <v>15549.3</v>
      </c>
      <c r="G17" s="10">
        <f t="shared" si="0"/>
        <v>2.5909827475104783</v>
      </c>
      <c r="H17" s="9">
        <f>390438.88-F17</f>
        <v>374889.58</v>
      </c>
      <c r="I17" s="10">
        <f t="shared" si="1"/>
        <v>62.46792035663658</v>
      </c>
      <c r="J17" s="9">
        <f t="shared" si="2"/>
        <v>390438.88</v>
      </c>
      <c r="K17" s="20">
        <f t="shared" si="3"/>
        <v>65.05890310414706</v>
      </c>
    </row>
    <row r="18" spans="1:11" ht="12.75">
      <c r="A18" s="18" t="s">
        <v>34</v>
      </c>
      <c r="B18" s="38" t="s">
        <v>35</v>
      </c>
      <c r="C18" s="44">
        <f>SUM(C19:C21)</f>
        <v>80000</v>
      </c>
      <c r="D18" s="8">
        <f>SUM(D19:D21)</f>
        <v>0</v>
      </c>
      <c r="E18" s="19">
        <f t="shared" si="4"/>
        <v>80000</v>
      </c>
      <c r="F18" s="44">
        <f>SUM(F19:F21)</f>
        <v>15797.765</v>
      </c>
      <c r="G18" s="8">
        <f t="shared" si="0"/>
        <v>19.747206249999998</v>
      </c>
      <c r="H18" s="8">
        <f>SUM(H19:H21)</f>
        <v>57647.782999999996</v>
      </c>
      <c r="I18" s="8">
        <f t="shared" si="1"/>
        <v>72.05972874999999</v>
      </c>
      <c r="J18" s="8">
        <f t="shared" si="2"/>
        <v>73445.548</v>
      </c>
      <c r="K18" s="19">
        <f t="shared" si="3"/>
        <v>91.806935</v>
      </c>
    </row>
    <row r="19" spans="1:11" ht="25.5" hidden="1">
      <c r="A19" s="18" t="s">
        <v>36</v>
      </c>
      <c r="B19" s="37" t="s">
        <v>37</v>
      </c>
      <c r="C19" s="42">
        <v>80000</v>
      </c>
      <c r="D19" s="9">
        <v>0</v>
      </c>
      <c r="E19" s="43">
        <f t="shared" si="4"/>
        <v>80000</v>
      </c>
      <c r="F19" s="42">
        <v>15797.765</v>
      </c>
      <c r="G19" s="10">
        <f t="shared" si="0"/>
        <v>19.747206249999998</v>
      </c>
      <c r="H19" s="9">
        <f>73445.548-F19</f>
        <v>57647.782999999996</v>
      </c>
      <c r="I19" s="10">
        <f t="shared" si="1"/>
        <v>72.05972874999999</v>
      </c>
      <c r="J19" s="9">
        <f t="shared" si="2"/>
        <v>73445.548</v>
      </c>
      <c r="K19" s="20">
        <f t="shared" si="3"/>
        <v>91.806935</v>
      </c>
    </row>
    <row r="20" spans="1:11" ht="38.25" hidden="1">
      <c r="A20" s="18" t="s">
        <v>38</v>
      </c>
      <c r="B20" s="37" t="s">
        <v>39</v>
      </c>
      <c r="C20" s="42">
        <v>0</v>
      </c>
      <c r="D20" s="9">
        <v>0</v>
      </c>
      <c r="E20" s="43">
        <f t="shared" si="4"/>
        <v>0</v>
      </c>
      <c r="F20" s="42">
        <v>0</v>
      </c>
      <c r="G20" s="10" t="e">
        <f t="shared" si="0"/>
        <v>#DIV/0!</v>
      </c>
      <c r="H20" s="9">
        <v>0</v>
      </c>
      <c r="I20" s="10" t="e">
        <f t="shared" si="1"/>
        <v>#DIV/0!</v>
      </c>
      <c r="J20" s="9">
        <f t="shared" si="2"/>
        <v>0</v>
      </c>
      <c r="K20" s="20" t="e">
        <f t="shared" si="3"/>
        <v>#DIV/0!</v>
      </c>
    </row>
    <row r="21" spans="1:11" ht="12.75" hidden="1">
      <c r="A21" s="18" t="s">
        <v>40</v>
      </c>
      <c r="B21" s="37" t="s">
        <v>41</v>
      </c>
      <c r="C21" s="42">
        <v>0</v>
      </c>
      <c r="D21" s="9">
        <v>0</v>
      </c>
      <c r="E21" s="43">
        <f t="shared" si="4"/>
        <v>0</v>
      </c>
      <c r="F21" s="42">
        <v>0</v>
      </c>
      <c r="G21" s="10" t="e">
        <f t="shared" si="0"/>
        <v>#DIV/0!</v>
      </c>
      <c r="H21" s="9">
        <v>0</v>
      </c>
      <c r="I21" s="10" t="e">
        <f t="shared" si="1"/>
        <v>#DIV/0!</v>
      </c>
      <c r="J21" s="9">
        <f t="shared" si="2"/>
        <v>0</v>
      </c>
      <c r="K21" s="20" t="e">
        <f t="shared" si="3"/>
        <v>#DIV/0!</v>
      </c>
    </row>
    <row r="22" spans="1:11" ht="12.75">
      <c r="A22" s="18" t="s">
        <v>42</v>
      </c>
      <c r="B22" s="38" t="s">
        <v>43</v>
      </c>
      <c r="C22" s="44">
        <f>SUM(C23)</f>
        <v>80000</v>
      </c>
      <c r="D22" s="8">
        <f>SUM(D23)</f>
        <v>557267.238</v>
      </c>
      <c r="E22" s="19">
        <f t="shared" si="4"/>
        <v>637267.238</v>
      </c>
      <c r="F22" s="44">
        <f>SUM(F23)</f>
        <v>0</v>
      </c>
      <c r="G22" s="8">
        <f t="shared" si="0"/>
        <v>0</v>
      </c>
      <c r="H22" s="8">
        <f>SUM(H23)</f>
        <v>633929.335</v>
      </c>
      <c r="I22" s="8">
        <f t="shared" si="1"/>
        <v>99.47621613022572</v>
      </c>
      <c r="J22" s="8">
        <f t="shared" si="2"/>
        <v>633929.335</v>
      </c>
      <c r="K22" s="19">
        <f t="shared" si="3"/>
        <v>99.47621613022572</v>
      </c>
    </row>
    <row r="23" spans="1:11" ht="12.75">
      <c r="A23" s="18" t="s">
        <v>44</v>
      </c>
      <c r="B23" s="37" t="s">
        <v>45</v>
      </c>
      <c r="C23" s="42">
        <v>80000</v>
      </c>
      <c r="D23" s="9">
        <v>557267.238</v>
      </c>
      <c r="E23" s="43">
        <f t="shared" si="4"/>
        <v>637267.238</v>
      </c>
      <c r="F23" s="42">
        <v>0</v>
      </c>
      <c r="G23" s="10">
        <f t="shared" si="0"/>
        <v>0</v>
      </c>
      <c r="H23" s="9">
        <v>633929.335</v>
      </c>
      <c r="I23" s="10">
        <f t="shared" si="1"/>
        <v>99.47621613022572</v>
      </c>
      <c r="J23" s="9">
        <f t="shared" si="2"/>
        <v>633929.335</v>
      </c>
      <c r="K23" s="20">
        <f t="shared" si="3"/>
        <v>99.47621613022572</v>
      </c>
    </row>
    <row r="24" spans="1:11" ht="12.75" hidden="1">
      <c r="A24" s="18" t="s">
        <v>46</v>
      </c>
      <c r="B24" s="38" t="s">
        <v>47</v>
      </c>
      <c r="C24" s="44">
        <f>SUM(C25:C26)</f>
        <v>0</v>
      </c>
      <c r="D24" s="8">
        <f>SUM(D25:D26)</f>
        <v>0</v>
      </c>
      <c r="E24" s="19">
        <f t="shared" si="4"/>
        <v>0</v>
      </c>
      <c r="F24" s="44">
        <f>SUM(F25:F26)</f>
        <v>0</v>
      </c>
      <c r="G24" s="8" t="e">
        <f t="shared" si="0"/>
        <v>#DIV/0!</v>
      </c>
      <c r="H24" s="8">
        <f>SUM(H25:H26)</f>
        <v>0</v>
      </c>
      <c r="I24" s="8" t="e">
        <f t="shared" si="1"/>
        <v>#DIV/0!</v>
      </c>
      <c r="J24" s="8">
        <f>SUM(J25:J26)</f>
        <v>0</v>
      </c>
      <c r="K24" s="19" t="e">
        <f t="shared" si="3"/>
        <v>#DIV/0!</v>
      </c>
    </row>
    <row r="25" spans="1:11" ht="12.75" hidden="1">
      <c r="A25" s="18" t="s">
        <v>12</v>
      </c>
      <c r="B25" s="37" t="s">
        <v>49</v>
      </c>
      <c r="C25" s="42">
        <v>0</v>
      </c>
      <c r="D25" s="9"/>
      <c r="E25" s="43">
        <f t="shared" si="4"/>
        <v>0</v>
      </c>
      <c r="F25" s="42">
        <v>0</v>
      </c>
      <c r="G25" s="10" t="e">
        <f t="shared" si="0"/>
        <v>#DIV/0!</v>
      </c>
      <c r="H25" s="9">
        <v>0</v>
      </c>
      <c r="I25" s="10" t="e">
        <f t="shared" si="1"/>
        <v>#DIV/0!</v>
      </c>
      <c r="J25" s="9">
        <f aca="true" t="shared" si="5" ref="J25:J40">+F25+H25</f>
        <v>0</v>
      </c>
      <c r="K25" s="20" t="e">
        <f t="shared" si="3"/>
        <v>#DIV/0!</v>
      </c>
    </row>
    <row r="26" spans="1:11" ht="12.75" hidden="1">
      <c r="A26" s="18" t="s">
        <v>12</v>
      </c>
      <c r="B26" s="37" t="s">
        <v>50</v>
      </c>
      <c r="C26" s="42">
        <v>0</v>
      </c>
      <c r="D26" s="9"/>
      <c r="E26" s="43">
        <f t="shared" si="4"/>
        <v>0</v>
      </c>
      <c r="F26" s="42">
        <v>0</v>
      </c>
      <c r="G26" s="10" t="e">
        <f t="shared" si="0"/>
        <v>#DIV/0!</v>
      </c>
      <c r="H26" s="9"/>
      <c r="I26" s="10" t="e">
        <f t="shared" si="1"/>
        <v>#DIV/0!</v>
      </c>
      <c r="J26" s="9">
        <f t="shared" si="5"/>
        <v>0</v>
      </c>
      <c r="K26" s="20" t="e">
        <f t="shared" si="3"/>
        <v>#DIV/0!</v>
      </c>
    </row>
    <row r="27" spans="1:11" ht="12.75">
      <c r="A27" s="18" t="s">
        <v>51</v>
      </c>
      <c r="B27" s="38" t="s">
        <v>52</v>
      </c>
      <c r="C27" s="44">
        <f>SUM(C28:C32)</f>
        <v>52000</v>
      </c>
      <c r="D27" s="8">
        <f>SUM(D28:D32)</f>
        <v>72450</v>
      </c>
      <c r="E27" s="19">
        <f t="shared" si="4"/>
        <v>124450</v>
      </c>
      <c r="F27" s="44">
        <f>SUM(F28:F32)</f>
        <v>0</v>
      </c>
      <c r="G27" s="8">
        <f t="shared" si="0"/>
        <v>0</v>
      </c>
      <c r="H27" s="8">
        <f>SUM(H28:H32)</f>
        <v>117208.66</v>
      </c>
      <c r="I27" s="8">
        <f t="shared" si="1"/>
        <v>94.18132583366814</v>
      </c>
      <c r="J27" s="8">
        <f t="shared" si="5"/>
        <v>117208.66</v>
      </c>
      <c r="K27" s="19">
        <f t="shared" si="3"/>
        <v>94.18132583366814</v>
      </c>
    </row>
    <row r="28" spans="1:11" ht="25.5" hidden="1">
      <c r="A28" s="18" t="s">
        <v>51</v>
      </c>
      <c r="B28" s="37" t="s">
        <v>53</v>
      </c>
      <c r="C28" s="42">
        <v>0</v>
      </c>
      <c r="D28" s="9">
        <v>0</v>
      </c>
      <c r="E28" s="43">
        <f t="shared" si="4"/>
        <v>0</v>
      </c>
      <c r="F28" s="42">
        <v>0</v>
      </c>
      <c r="G28" s="10" t="e">
        <f t="shared" si="0"/>
        <v>#DIV/0!</v>
      </c>
      <c r="H28" s="9">
        <v>0</v>
      </c>
      <c r="I28" s="10" t="e">
        <f t="shared" si="1"/>
        <v>#DIV/0!</v>
      </c>
      <c r="J28" s="9">
        <f t="shared" si="5"/>
        <v>0</v>
      </c>
      <c r="K28" s="20" t="e">
        <f t="shared" si="3"/>
        <v>#DIV/0!</v>
      </c>
    </row>
    <row r="29" spans="1:11" ht="38.25">
      <c r="A29" s="18" t="s">
        <v>54</v>
      </c>
      <c r="B29" s="37" t="s">
        <v>55</v>
      </c>
      <c r="C29" s="42">
        <v>52000</v>
      </c>
      <c r="D29" s="9">
        <v>72450</v>
      </c>
      <c r="E29" s="43">
        <f t="shared" si="4"/>
        <v>124450</v>
      </c>
      <c r="F29" s="42">
        <v>0</v>
      </c>
      <c r="G29" s="10">
        <f t="shared" si="0"/>
        <v>0</v>
      </c>
      <c r="H29" s="9">
        <v>117208.66</v>
      </c>
      <c r="I29" s="10">
        <f t="shared" si="1"/>
        <v>94.18132583366814</v>
      </c>
      <c r="J29" s="9">
        <f t="shared" si="5"/>
        <v>117208.66</v>
      </c>
      <c r="K29" s="20">
        <f t="shared" si="3"/>
        <v>94.18132583366814</v>
      </c>
    </row>
    <row r="30" spans="1:11" ht="25.5" hidden="1">
      <c r="A30" s="18" t="s">
        <v>56</v>
      </c>
      <c r="B30" s="37" t="s">
        <v>57</v>
      </c>
      <c r="C30" s="42">
        <v>0</v>
      </c>
      <c r="D30" s="9">
        <v>0</v>
      </c>
      <c r="E30" s="43">
        <f t="shared" si="4"/>
        <v>0</v>
      </c>
      <c r="F30" s="42">
        <v>0</v>
      </c>
      <c r="G30" s="10" t="e">
        <f t="shared" si="0"/>
        <v>#DIV/0!</v>
      </c>
      <c r="H30" s="9">
        <v>0</v>
      </c>
      <c r="I30" s="10" t="e">
        <f t="shared" si="1"/>
        <v>#DIV/0!</v>
      </c>
      <c r="J30" s="9">
        <f t="shared" si="5"/>
        <v>0</v>
      </c>
      <c r="K30" s="20" t="e">
        <f t="shared" si="3"/>
        <v>#DIV/0!</v>
      </c>
    </row>
    <row r="31" spans="1:11" ht="25.5" hidden="1">
      <c r="A31" s="18" t="s">
        <v>58</v>
      </c>
      <c r="B31" s="37" t="s">
        <v>59</v>
      </c>
      <c r="C31" s="42">
        <v>0</v>
      </c>
      <c r="D31" s="9">
        <v>0</v>
      </c>
      <c r="E31" s="43">
        <f t="shared" si="4"/>
        <v>0</v>
      </c>
      <c r="F31" s="42">
        <v>0</v>
      </c>
      <c r="G31" s="10" t="e">
        <f t="shared" si="0"/>
        <v>#DIV/0!</v>
      </c>
      <c r="H31" s="9">
        <v>0</v>
      </c>
      <c r="I31" s="10" t="e">
        <f t="shared" si="1"/>
        <v>#DIV/0!</v>
      </c>
      <c r="J31" s="9">
        <f t="shared" si="5"/>
        <v>0</v>
      </c>
      <c r="K31" s="20" t="e">
        <f t="shared" si="3"/>
        <v>#DIV/0!</v>
      </c>
    </row>
    <row r="32" spans="1:11" ht="25.5" hidden="1">
      <c r="A32" s="18" t="s">
        <v>60</v>
      </c>
      <c r="B32" s="37" t="s">
        <v>61</v>
      </c>
      <c r="C32" s="42">
        <v>0</v>
      </c>
      <c r="D32" s="9">
        <v>0</v>
      </c>
      <c r="E32" s="43">
        <f t="shared" si="4"/>
        <v>0</v>
      </c>
      <c r="F32" s="42">
        <v>0</v>
      </c>
      <c r="G32" s="10" t="e">
        <f t="shared" si="0"/>
        <v>#DIV/0!</v>
      </c>
      <c r="H32" s="9">
        <v>0</v>
      </c>
      <c r="I32" s="10" t="e">
        <f t="shared" si="1"/>
        <v>#DIV/0!</v>
      </c>
      <c r="J32" s="9">
        <f t="shared" si="5"/>
        <v>0</v>
      </c>
      <c r="K32" s="20" t="e">
        <f t="shared" si="3"/>
        <v>#DIV/0!</v>
      </c>
    </row>
    <row r="33" spans="1:11" ht="12.75">
      <c r="A33" s="18" t="s">
        <v>62</v>
      </c>
      <c r="B33" s="38" t="s">
        <v>63</v>
      </c>
      <c r="C33" s="44">
        <f>SUM(C34:C36)</f>
        <v>1271211.8399999999</v>
      </c>
      <c r="D33" s="8">
        <f>SUM(D34:D36)</f>
        <v>566500</v>
      </c>
      <c r="E33" s="19">
        <f t="shared" si="4"/>
        <v>1837711.8399999999</v>
      </c>
      <c r="F33" s="44">
        <f>SUM(F34:F36)</f>
        <v>609519.41</v>
      </c>
      <c r="G33" s="8">
        <f t="shared" si="0"/>
        <v>33.16730059267617</v>
      </c>
      <c r="H33" s="8">
        <f>SUM(H34:H36)</f>
        <v>969753.631</v>
      </c>
      <c r="I33" s="8">
        <f t="shared" si="1"/>
        <v>52.76962415391524</v>
      </c>
      <c r="J33" s="8">
        <f t="shared" si="5"/>
        <v>1579273.0410000002</v>
      </c>
      <c r="K33" s="19">
        <f t="shared" si="3"/>
        <v>85.93692474659142</v>
      </c>
    </row>
    <row r="34" spans="1:11" ht="12.75">
      <c r="A34" s="18" t="s">
        <v>64</v>
      </c>
      <c r="B34" s="37" t="s">
        <v>65</v>
      </c>
      <c r="C34" s="42">
        <v>969343.2</v>
      </c>
      <c r="D34" s="9">
        <v>570300</v>
      </c>
      <c r="E34" s="43">
        <f t="shared" si="4"/>
        <v>1539643.2</v>
      </c>
      <c r="F34" s="42">
        <v>381052.033</v>
      </c>
      <c r="G34" s="10">
        <f t="shared" si="0"/>
        <v>24.749372646857402</v>
      </c>
      <c r="H34" s="9">
        <f>1317205.664-F34</f>
        <v>936153.631</v>
      </c>
      <c r="I34" s="10">
        <f t="shared" si="1"/>
        <v>60.80328422844982</v>
      </c>
      <c r="J34" s="9">
        <f t="shared" si="5"/>
        <v>1317205.664</v>
      </c>
      <c r="K34" s="20">
        <f t="shared" si="3"/>
        <v>85.55265687530722</v>
      </c>
    </row>
    <row r="35" spans="1:11" ht="25.5">
      <c r="A35" s="18" t="s">
        <v>66</v>
      </c>
      <c r="B35" s="37" t="s">
        <v>67</v>
      </c>
      <c r="C35" s="42">
        <v>249868.64</v>
      </c>
      <c r="D35" s="9">
        <v>-9000</v>
      </c>
      <c r="E35" s="43">
        <f t="shared" si="4"/>
        <v>240868.64</v>
      </c>
      <c r="F35" s="42">
        <v>187635.377</v>
      </c>
      <c r="G35" s="10">
        <f t="shared" si="0"/>
        <v>77.89946296039201</v>
      </c>
      <c r="H35" s="9">
        <f>214235.377-F35</f>
        <v>26600</v>
      </c>
      <c r="I35" s="10">
        <f t="shared" si="1"/>
        <v>11.043363718913346</v>
      </c>
      <c r="J35" s="9">
        <f t="shared" si="5"/>
        <v>214235.377</v>
      </c>
      <c r="K35" s="20">
        <f t="shared" si="3"/>
        <v>88.94282667930537</v>
      </c>
    </row>
    <row r="36" spans="1:11" ht="12.75">
      <c r="A36" s="18" t="s">
        <v>82</v>
      </c>
      <c r="B36" s="37" t="s">
        <v>69</v>
      </c>
      <c r="C36" s="42">
        <v>52000</v>
      </c>
      <c r="D36" s="9">
        <v>5200</v>
      </c>
      <c r="E36" s="43">
        <f t="shared" si="4"/>
        <v>57200</v>
      </c>
      <c r="F36" s="42">
        <v>40832</v>
      </c>
      <c r="G36" s="10">
        <f t="shared" si="0"/>
        <v>71.38461538461539</v>
      </c>
      <c r="H36" s="9">
        <f>47832-F36</f>
        <v>7000</v>
      </c>
      <c r="I36" s="10">
        <f t="shared" si="1"/>
        <v>12.237762237762238</v>
      </c>
      <c r="J36" s="9">
        <f t="shared" si="5"/>
        <v>47832</v>
      </c>
      <c r="K36" s="20">
        <f t="shared" si="3"/>
        <v>83.62237762237761</v>
      </c>
    </row>
    <row r="37" spans="1:11" ht="12.75">
      <c r="A37" s="18">
        <v>334</v>
      </c>
      <c r="B37" s="38" t="s">
        <v>70</v>
      </c>
      <c r="C37" s="44">
        <v>100000</v>
      </c>
      <c r="D37" s="8">
        <v>-31265.306</v>
      </c>
      <c r="E37" s="19">
        <f t="shared" si="4"/>
        <v>68734.694</v>
      </c>
      <c r="F37" s="44">
        <v>36767.483</v>
      </c>
      <c r="G37" s="8">
        <f t="shared" si="0"/>
        <v>53.49188431681968</v>
      </c>
      <c r="H37" s="8">
        <v>0</v>
      </c>
      <c r="I37" s="8">
        <f t="shared" si="1"/>
        <v>0</v>
      </c>
      <c r="J37" s="8">
        <f t="shared" si="5"/>
        <v>36767.483</v>
      </c>
      <c r="K37" s="19">
        <f t="shared" si="3"/>
        <v>53.49188431681968</v>
      </c>
    </row>
    <row r="38" spans="1:11" ht="12.75">
      <c r="A38" s="18" t="s">
        <v>71</v>
      </c>
      <c r="B38" s="37" t="s">
        <v>72</v>
      </c>
      <c r="C38" s="42">
        <v>0</v>
      </c>
      <c r="D38" s="8">
        <v>2721366.016</v>
      </c>
      <c r="E38" s="19">
        <f t="shared" si="4"/>
        <v>2721366.016</v>
      </c>
      <c r="F38" s="44">
        <v>1752852.289</v>
      </c>
      <c r="G38" s="8">
        <f t="shared" si="0"/>
        <v>64.41075102335665</v>
      </c>
      <c r="H38" s="8">
        <f>2721366.016-F38</f>
        <v>968513.7269999997</v>
      </c>
      <c r="I38" s="8">
        <f t="shared" si="1"/>
        <v>35.58924897664335</v>
      </c>
      <c r="J38" s="8">
        <f t="shared" si="5"/>
        <v>2721366.016</v>
      </c>
      <c r="K38" s="19">
        <f t="shared" si="3"/>
        <v>100</v>
      </c>
    </row>
    <row r="39" spans="1:11" ht="12.75">
      <c r="A39" s="18" t="s">
        <v>73</v>
      </c>
      <c r="B39" s="37" t="s">
        <v>74</v>
      </c>
      <c r="C39" s="42">
        <v>0</v>
      </c>
      <c r="D39" s="8">
        <v>4034.22</v>
      </c>
      <c r="E39" s="19">
        <f t="shared" si="4"/>
        <v>4034.22</v>
      </c>
      <c r="F39" s="44">
        <v>4034.22</v>
      </c>
      <c r="G39" s="8">
        <f t="shared" si="0"/>
        <v>100</v>
      </c>
      <c r="H39" s="8"/>
      <c r="I39" s="8">
        <f t="shared" si="1"/>
        <v>0</v>
      </c>
      <c r="J39" s="8">
        <f t="shared" si="5"/>
        <v>4034.22</v>
      </c>
      <c r="K39" s="19">
        <f t="shared" si="3"/>
        <v>100</v>
      </c>
    </row>
    <row r="40" spans="1:11" ht="12.75">
      <c r="A40" s="18" t="s">
        <v>75</v>
      </c>
      <c r="B40" s="37" t="s">
        <v>76</v>
      </c>
      <c r="C40" s="42"/>
      <c r="D40" s="8">
        <v>31265.306</v>
      </c>
      <c r="E40" s="19">
        <f t="shared" si="4"/>
        <v>31265.306</v>
      </c>
      <c r="F40" s="44">
        <v>0</v>
      </c>
      <c r="G40" s="8">
        <f t="shared" si="0"/>
        <v>0</v>
      </c>
      <c r="H40" s="8">
        <v>0</v>
      </c>
      <c r="I40" s="8">
        <f t="shared" si="1"/>
        <v>0</v>
      </c>
      <c r="J40" s="8">
        <f t="shared" si="5"/>
        <v>0</v>
      </c>
      <c r="K40" s="19">
        <f t="shared" si="3"/>
        <v>0</v>
      </c>
    </row>
    <row r="41" spans="1:11" ht="12.75">
      <c r="A41" s="21"/>
      <c r="B41" s="38" t="s">
        <v>77</v>
      </c>
      <c r="C41" s="44">
        <f>+C7+C14+C18+C22+C24+C27+C33+C37</f>
        <v>3434343.1999999997</v>
      </c>
      <c r="D41" s="8">
        <f>+D7+D14+D18+D22+D24+D27+D33+D37+D38+D39+D40</f>
        <v>3447107.474</v>
      </c>
      <c r="E41" s="19">
        <f>+E7+E14+E18+E22+E24+E27+E33+E37+E38+E39+E40</f>
        <v>6881450.674</v>
      </c>
      <c r="F41" s="44">
        <f>+F7+F14+F18+F22+F24+F27+F33+F37+F38+F39+F40</f>
        <v>2442222.845</v>
      </c>
      <c r="G41" s="8">
        <f t="shared" si="0"/>
        <v>35.489941884309154</v>
      </c>
      <c r="H41" s="8">
        <f>+H7+H14+H18+H22+H24+H27+H33+H37+H38+H39+H40</f>
        <v>3847153.965</v>
      </c>
      <c r="I41" s="8">
        <f t="shared" si="1"/>
        <v>55.90614751531386</v>
      </c>
      <c r="J41" s="8">
        <f>+J7+J14+J18+J22+J24+J27+J33+J37+J38+J39+J40</f>
        <v>6289376.81</v>
      </c>
      <c r="K41" s="19">
        <f t="shared" si="3"/>
        <v>91.39608939962301</v>
      </c>
    </row>
    <row r="42" spans="1:11" ht="12.75">
      <c r="A42" s="18">
        <v>4</v>
      </c>
      <c r="B42" s="37" t="s">
        <v>78</v>
      </c>
      <c r="C42" s="44"/>
      <c r="D42" s="8">
        <v>47485.217</v>
      </c>
      <c r="E42" s="19">
        <f t="shared" si="4"/>
        <v>47485.217</v>
      </c>
      <c r="F42" s="42">
        <v>0</v>
      </c>
      <c r="G42" s="10">
        <f t="shared" si="0"/>
        <v>0</v>
      </c>
      <c r="H42" s="9"/>
      <c r="I42" s="10">
        <f t="shared" si="1"/>
        <v>0</v>
      </c>
      <c r="J42" s="9"/>
      <c r="K42" s="20">
        <f t="shared" si="3"/>
        <v>0</v>
      </c>
    </row>
    <row r="43" spans="1:11" ht="26.25" thickBot="1">
      <c r="A43" s="22"/>
      <c r="B43" s="39" t="s">
        <v>79</v>
      </c>
      <c r="C43" s="45">
        <f>+C41+C42</f>
        <v>3434343.1999999997</v>
      </c>
      <c r="D43" s="23">
        <f>+D41+D42</f>
        <v>3494592.691</v>
      </c>
      <c r="E43" s="24">
        <f t="shared" si="4"/>
        <v>6928935.891</v>
      </c>
      <c r="F43" s="45">
        <f>+F41+F42</f>
        <v>2442222.845</v>
      </c>
      <c r="G43" s="23">
        <f t="shared" si="0"/>
        <v>35.246723067133665</v>
      </c>
      <c r="H43" s="23">
        <f>+H41+H42</f>
        <v>3847153.965</v>
      </c>
      <c r="I43" s="23">
        <f t="shared" si="1"/>
        <v>55.5230128481499</v>
      </c>
      <c r="J43" s="23">
        <f>+J41+J42</f>
        <v>6289376.81</v>
      </c>
      <c r="K43" s="24">
        <f t="shared" si="3"/>
        <v>90.76973591528356</v>
      </c>
    </row>
    <row r="44" spans="3:11" ht="12.75">
      <c r="C44" s="3"/>
      <c r="D44" s="3"/>
      <c r="E44" s="3"/>
      <c r="F44" s="3"/>
      <c r="G44" s="3"/>
      <c r="H44" s="3"/>
      <c r="I44" s="3"/>
      <c r="J44" s="3"/>
      <c r="K44" s="3"/>
    </row>
    <row r="45" spans="3:11" ht="12.75">
      <c r="C45" s="3"/>
      <c r="D45" s="3"/>
      <c r="E45" s="3"/>
      <c r="F45" s="3"/>
      <c r="G45" s="3"/>
      <c r="H45" s="3"/>
      <c r="I45" s="3"/>
      <c r="J45" s="3"/>
      <c r="K45" s="3"/>
    </row>
  </sheetData>
  <mergeCells count="5">
    <mergeCell ref="C5:E5"/>
    <mergeCell ref="F5:K5"/>
    <mergeCell ref="C1:I1"/>
    <mergeCell ref="C2:I2"/>
    <mergeCell ref="C3:I3"/>
  </mergeCells>
  <printOptions horizontalCentered="1" verticalCentered="1"/>
  <pageMargins left="0" right="0" top="0.7086614173228347" bottom="0.7874015748031497" header="0" footer="0.92"/>
  <pageSetup horizontalDpi="600" verticalDpi="600" orientation="landscape" scale="85" r:id="rId1"/>
  <headerFooter alignWithMargins="0">
    <oddFooter>&amp;LFuente: Ejecución presupuestal&amp;R&amp;Z&amp;F/raag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37.28125" style="0" customWidth="1"/>
    <col min="3" max="3" width="14.28125" style="0" customWidth="1"/>
    <col min="4" max="4" width="14.8515625" style="0" customWidth="1"/>
    <col min="5" max="5" width="14.421875" style="0" customWidth="1"/>
    <col min="6" max="6" width="17.140625" style="0" customWidth="1"/>
    <col min="7" max="7" width="9.7109375" style="0" customWidth="1"/>
    <col min="8" max="8" width="15.421875" style="0" customWidth="1"/>
    <col min="9" max="9" width="11.8515625" style="0" customWidth="1"/>
    <col min="10" max="10" width="14.421875" style="0" customWidth="1"/>
  </cols>
  <sheetData>
    <row r="1" spans="1:11" ht="12.75">
      <c r="A1" s="56" t="s">
        <v>93</v>
      </c>
      <c r="B1" s="13"/>
      <c r="C1" s="54" t="s">
        <v>83</v>
      </c>
      <c r="D1" s="54"/>
      <c r="E1" s="54"/>
      <c r="F1" s="54"/>
      <c r="G1" s="54"/>
      <c r="H1" s="54"/>
      <c r="I1" s="54"/>
      <c r="J1" s="13"/>
      <c r="K1" s="13"/>
    </row>
    <row r="2" spans="1:11" ht="12.75">
      <c r="A2" s="56" t="s">
        <v>94</v>
      </c>
      <c r="B2" s="13"/>
      <c r="C2" s="54" t="s">
        <v>1</v>
      </c>
      <c r="D2" s="54"/>
      <c r="E2" s="54"/>
      <c r="F2" s="54"/>
      <c r="G2" s="54"/>
      <c r="H2" s="54"/>
      <c r="I2" s="54"/>
      <c r="J2" s="13"/>
      <c r="K2" s="13"/>
    </row>
    <row r="3" spans="1:11" ht="12.75">
      <c r="A3" s="56" t="s">
        <v>95</v>
      </c>
      <c r="B3" s="13"/>
      <c r="C3" s="55" t="s">
        <v>2</v>
      </c>
      <c r="D3" s="55"/>
      <c r="E3" s="55"/>
      <c r="F3" s="55"/>
      <c r="G3" s="55"/>
      <c r="H3" s="55"/>
      <c r="I3" s="55"/>
      <c r="J3" s="13"/>
      <c r="K3" s="13"/>
    </row>
    <row r="4" spans="1:11" ht="13.5" thickBot="1">
      <c r="A4" s="56" t="s">
        <v>96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7"/>
      <c r="B5" s="34"/>
      <c r="C5" s="40" t="s">
        <v>90</v>
      </c>
      <c r="D5" s="25"/>
      <c r="E5" s="30"/>
      <c r="F5" s="40" t="s">
        <v>10</v>
      </c>
      <c r="G5" s="25"/>
      <c r="H5" s="25"/>
      <c r="I5" s="25"/>
      <c r="J5" s="25"/>
      <c r="K5" s="30"/>
    </row>
    <row r="6" spans="1:11" ht="12.75">
      <c r="A6" s="57" t="s">
        <v>3</v>
      </c>
      <c r="B6" s="59" t="s">
        <v>4</v>
      </c>
      <c r="C6" s="57" t="s">
        <v>5</v>
      </c>
      <c r="D6" s="16" t="s">
        <v>6</v>
      </c>
      <c r="E6" s="58" t="s">
        <v>7</v>
      </c>
      <c r="F6" s="57" t="s">
        <v>8</v>
      </c>
      <c r="G6" s="16" t="s">
        <v>91</v>
      </c>
      <c r="H6" s="16" t="s">
        <v>9</v>
      </c>
      <c r="I6" s="16" t="s">
        <v>91</v>
      </c>
      <c r="J6" s="16" t="s">
        <v>92</v>
      </c>
      <c r="K6" s="58" t="s">
        <v>11</v>
      </c>
    </row>
    <row r="7" spans="1:11" ht="12.75">
      <c r="A7" s="18" t="s">
        <v>12</v>
      </c>
      <c r="B7" s="38" t="s">
        <v>13</v>
      </c>
      <c r="C7" s="44">
        <f>SUM(C8:C13)</f>
        <v>2630500</v>
      </c>
      <c r="D7" s="8">
        <f>SUM(D8:D13)</f>
        <v>766813.322</v>
      </c>
      <c r="E7" s="19">
        <f>+C7+D7</f>
        <v>3397313.322</v>
      </c>
      <c r="F7" s="44">
        <f>SUM(F8:F13)</f>
        <v>481111.222</v>
      </c>
      <c r="G7" s="8">
        <f aca="true" t="shared" si="0" ref="G7:G43">+F7/E7*100</f>
        <v>14.161520483979665</v>
      </c>
      <c r="H7" s="8">
        <f>SUM(H8:H13)</f>
        <v>2651462.9639999997</v>
      </c>
      <c r="I7" s="8">
        <f aca="true" t="shared" si="1" ref="I7:I43">+H7/E7*100</f>
        <v>78.04587662933255</v>
      </c>
      <c r="J7" s="8">
        <f aca="true" t="shared" si="2" ref="J7:J23">+F7+H7</f>
        <v>3132574.1859999998</v>
      </c>
      <c r="K7" s="19">
        <f aca="true" t="shared" si="3" ref="K7:K43">+J7/E7*100</f>
        <v>92.20739711331223</v>
      </c>
    </row>
    <row r="8" spans="1:11" ht="25.5">
      <c r="A8" s="18" t="s">
        <v>14</v>
      </c>
      <c r="B8" s="37" t="s">
        <v>81</v>
      </c>
      <c r="C8" s="42">
        <v>1118000</v>
      </c>
      <c r="D8" s="9">
        <v>-158933.948</v>
      </c>
      <c r="E8" s="43">
        <f>+C8+D8</f>
        <v>959066.052</v>
      </c>
      <c r="F8" s="42">
        <v>467547.61</v>
      </c>
      <c r="G8" s="10">
        <f t="shared" si="0"/>
        <v>48.750303383692284</v>
      </c>
      <c r="H8" s="9">
        <f>957649.802-F8</f>
        <v>490102.19200000004</v>
      </c>
      <c r="I8" s="10">
        <f t="shared" si="1"/>
        <v>51.10202691232366</v>
      </c>
      <c r="J8" s="9">
        <f t="shared" si="2"/>
        <v>957649.802</v>
      </c>
      <c r="K8" s="20">
        <f t="shared" si="3"/>
        <v>99.85233029601595</v>
      </c>
    </row>
    <row r="9" spans="1:11" ht="25.5">
      <c r="A9" s="18" t="s">
        <v>16</v>
      </c>
      <c r="B9" s="37" t="s">
        <v>17</v>
      </c>
      <c r="C9" s="42">
        <v>642500</v>
      </c>
      <c r="D9" s="9">
        <v>961200</v>
      </c>
      <c r="E9" s="43">
        <f aca="true" t="shared" si="4" ref="E9:E43">+C9+D9</f>
        <v>1603700</v>
      </c>
      <c r="F9" s="42">
        <v>0</v>
      </c>
      <c r="G9" s="10">
        <f t="shared" si="0"/>
        <v>0</v>
      </c>
      <c r="H9" s="9">
        <v>1557001.45</v>
      </c>
      <c r="I9" s="10">
        <f t="shared" si="1"/>
        <v>97.08807445282784</v>
      </c>
      <c r="J9" s="9">
        <f t="shared" si="2"/>
        <v>1557001.45</v>
      </c>
      <c r="K9" s="20">
        <f t="shared" si="3"/>
        <v>97.08807445282784</v>
      </c>
    </row>
    <row r="10" spans="1:11" ht="38.25">
      <c r="A10" s="18" t="s">
        <v>18</v>
      </c>
      <c r="B10" s="37" t="s">
        <v>19</v>
      </c>
      <c r="C10" s="42">
        <v>550000</v>
      </c>
      <c r="D10" s="9">
        <v>-35452.73</v>
      </c>
      <c r="E10" s="43">
        <f t="shared" si="4"/>
        <v>514547.27</v>
      </c>
      <c r="F10" s="42">
        <v>0</v>
      </c>
      <c r="G10" s="10">
        <f t="shared" si="0"/>
        <v>0</v>
      </c>
      <c r="H10" s="9">
        <v>305793.635</v>
      </c>
      <c r="I10" s="10">
        <f t="shared" si="1"/>
        <v>59.4296487084656</v>
      </c>
      <c r="J10" s="9">
        <f t="shared" si="2"/>
        <v>305793.635</v>
      </c>
      <c r="K10" s="20">
        <f t="shared" si="3"/>
        <v>59.4296487084656</v>
      </c>
    </row>
    <row r="11" spans="1:11" ht="25.5">
      <c r="A11" s="18" t="s">
        <v>20</v>
      </c>
      <c r="B11" s="37" t="s">
        <v>21</v>
      </c>
      <c r="C11" s="42">
        <v>140000</v>
      </c>
      <c r="D11" s="9">
        <v>0</v>
      </c>
      <c r="E11" s="43">
        <f t="shared" si="4"/>
        <v>140000</v>
      </c>
      <c r="F11" s="42">
        <v>13563.612</v>
      </c>
      <c r="G11" s="10">
        <f t="shared" si="0"/>
        <v>9.688294285714285</v>
      </c>
      <c r="H11" s="9">
        <f>132129.299-F11</f>
        <v>118565.687</v>
      </c>
      <c r="I11" s="10">
        <f t="shared" si="1"/>
        <v>84.68977642857143</v>
      </c>
      <c r="J11" s="9">
        <f t="shared" si="2"/>
        <v>132129.299</v>
      </c>
      <c r="K11" s="20">
        <f t="shared" si="3"/>
        <v>94.37807071428571</v>
      </c>
    </row>
    <row r="12" spans="1:11" ht="25.5">
      <c r="A12" s="18" t="s">
        <v>22</v>
      </c>
      <c r="B12" s="37" t="s">
        <v>23</v>
      </c>
      <c r="C12" s="42">
        <v>80000</v>
      </c>
      <c r="D12" s="9">
        <v>0</v>
      </c>
      <c r="E12" s="43">
        <f t="shared" si="4"/>
        <v>80000</v>
      </c>
      <c r="F12" s="42">
        <v>0</v>
      </c>
      <c r="G12" s="10">
        <f t="shared" si="0"/>
        <v>0</v>
      </c>
      <c r="H12" s="9">
        <v>80000</v>
      </c>
      <c r="I12" s="10">
        <f t="shared" si="1"/>
        <v>100</v>
      </c>
      <c r="J12" s="9">
        <f t="shared" si="2"/>
        <v>80000</v>
      </c>
      <c r="K12" s="20">
        <f t="shared" si="3"/>
        <v>100</v>
      </c>
    </row>
    <row r="13" spans="1:11" ht="12.75">
      <c r="A13" s="18" t="s">
        <v>24</v>
      </c>
      <c r="B13" s="37" t="s">
        <v>25</v>
      </c>
      <c r="C13" s="42">
        <v>100000</v>
      </c>
      <c r="D13" s="9"/>
      <c r="E13" s="43">
        <f t="shared" si="4"/>
        <v>100000</v>
      </c>
      <c r="F13" s="42"/>
      <c r="G13" s="10">
        <f t="shared" si="0"/>
        <v>0</v>
      </c>
      <c r="H13" s="9">
        <v>100000</v>
      </c>
      <c r="I13" s="10">
        <f t="shared" si="1"/>
        <v>100</v>
      </c>
      <c r="J13" s="9">
        <f t="shared" si="2"/>
        <v>100000</v>
      </c>
      <c r="K13" s="20">
        <f t="shared" si="3"/>
        <v>100</v>
      </c>
    </row>
    <row r="14" spans="1:11" ht="12.75">
      <c r="A14" s="18" t="s">
        <v>26</v>
      </c>
      <c r="B14" s="38" t="s">
        <v>27</v>
      </c>
      <c r="C14" s="44">
        <f>SUM(C15:C17)</f>
        <v>460000</v>
      </c>
      <c r="D14" s="8">
        <f>SUM(D15:D17)</f>
        <v>0</v>
      </c>
      <c r="E14" s="19">
        <f t="shared" si="4"/>
        <v>460000</v>
      </c>
      <c r="F14" s="44">
        <f>SUM(F15:F17)</f>
        <v>21976.47</v>
      </c>
      <c r="G14" s="8">
        <f t="shared" si="0"/>
        <v>4.77749347826087</v>
      </c>
      <c r="H14" s="8">
        <f>SUM(H15:H17)</f>
        <v>435502.908</v>
      </c>
      <c r="I14" s="8">
        <f t="shared" si="1"/>
        <v>94.6745452173913</v>
      </c>
      <c r="J14" s="8">
        <f t="shared" si="2"/>
        <v>457479.378</v>
      </c>
      <c r="K14" s="19">
        <f t="shared" si="3"/>
        <v>99.45203869565218</v>
      </c>
    </row>
    <row r="15" spans="1:11" ht="25.5">
      <c r="A15" s="18" t="s">
        <v>28</v>
      </c>
      <c r="B15" s="37" t="s">
        <v>29</v>
      </c>
      <c r="C15" s="42">
        <v>65000</v>
      </c>
      <c r="D15" s="9">
        <v>0</v>
      </c>
      <c r="E15" s="43">
        <f t="shared" si="4"/>
        <v>65000</v>
      </c>
      <c r="F15" s="42">
        <v>21976.47</v>
      </c>
      <c r="G15" s="10">
        <f t="shared" si="0"/>
        <v>33.80995384615385</v>
      </c>
      <c r="H15" s="9">
        <f>64896.471-F15</f>
        <v>42920.001</v>
      </c>
      <c r="I15" s="10">
        <f t="shared" si="1"/>
        <v>66.03077076923076</v>
      </c>
      <c r="J15" s="9">
        <f t="shared" si="2"/>
        <v>64896.471</v>
      </c>
      <c r="K15" s="20">
        <f t="shared" si="3"/>
        <v>99.84072461538462</v>
      </c>
    </row>
    <row r="16" spans="1:11" ht="25.5">
      <c r="A16" s="18" t="s">
        <v>30</v>
      </c>
      <c r="B16" s="37" t="s">
        <v>31</v>
      </c>
      <c r="C16" s="42">
        <v>170000</v>
      </c>
      <c r="D16" s="9">
        <v>0</v>
      </c>
      <c r="E16" s="43">
        <f t="shared" si="4"/>
        <v>170000</v>
      </c>
      <c r="F16" s="42">
        <v>0</v>
      </c>
      <c r="G16" s="10">
        <f t="shared" si="0"/>
        <v>0</v>
      </c>
      <c r="H16" s="9">
        <v>170000</v>
      </c>
      <c r="I16" s="10">
        <f t="shared" si="1"/>
        <v>100</v>
      </c>
      <c r="J16" s="9">
        <f t="shared" si="2"/>
        <v>170000</v>
      </c>
      <c r="K16" s="20">
        <f t="shared" si="3"/>
        <v>100</v>
      </c>
    </row>
    <row r="17" spans="1:11" ht="38.25">
      <c r="A17" s="18" t="s">
        <v>32</v>
      </c>
      <c r="B17" s="37" t="s">
        <v>33</v>
      </c>
      <c r="C17" s="42">
        <v>225000</v>
      </c>
      <c r="D17" s="9">
        <v>0</v>
      </c>
      <c r="E17" s="43">
        <f t="shared" si="4"/>
        <v>225000</v>
      </c>
      <c r="F17" s="42">
        <v>0</v>
      </c>
      <c r="G17" s="10">
        <f t="shared" si="0"/>
        <v>0</v>
      </c>
      <c r="H17" s="9">
        <v>222582.907</v>
      </c>
      <c r="I17" s="10">
        <f t="shared" si="1"/>
        <v>98.92573644444444</v>
      </c>
      <c r="J17" s="9">
        <f t="shared" si="2"/>
        <v>222582.907</v>
      </c>
      <c r="K17" s="20">
        <f t="shared" si="3"/>
        <v>98.92573644444444</v>
      </c>
    </row>
    <row r="18" spans="1:11" ht="12.75">
      <c r="A18" s="18" t="s">
        <v>34</v>
      </c>
      <c r="B18" s="38" t="s">
        <v>35</v>
      </c>
      <c r="C18" s="44">
        <f>SUM(C19:C21)</f>
        <v>621000</v>
      </c>
      <c r="D18" s="8">
        <f>SUM(D19:D21)</f>
        <v>-230646.358</v>
      </c>
      <c r="E18" s="19">
        <f t="shared" si="4"/>
        <v>390353.642</v>
      </c>
      <c r="F18" s="44">
        <f>SUM(F19:F21)</f>
        <v>0</v>
      </c>
      <c r="G18" s="8">
        <f t="shared" si="0"/>
        <v>0</v>
      </c>
      <c r="H18" s="8">
        <f>SUM(H19:H21)</f>
        <v>281000</v>
      </c>
      <c r="I18" s="8">
        <f t="shared" si="1"/>
        <v>71.98600698594225</v>
      </c>
      <c r="J18" s="8">
        <f t="shared" si="2"/>
        <v>281000</v>
      </c>
      <c r="K18" s="19">
        <f t="shared" si="3"/>
        <v>71.98600698594225</v>
      </c>
    </row>
    <row r="19" spans="1:11" ht="25.5">
      <c r="A19" s="18" t="s">
        <v>36</v>
      </c>
      <c r="B19" s="37" t="s">
        <v>37</v>
      </c>
      <c r="C19" s="42">
        <v>521000</v>
      </c>
      <c r="D19" s="9">
        <v>-220000</v>
      </c>
      <c r="E19" s="43">
        <f t="shared" si="4"/>
        <v>301000</v>
      </c>
      <c r="F19" s="42">
        <v>0</v>
      </c>
      <c r="G19" s="10">
        <f t="shared" si="0"/>
        <v>0</v>
      </c>
      <c r="H19" s="9">
        <v>221000</v>
      </c>
      <c r="I19" s="10">
        <f t="shared" si="1"/>
        <v>73.421926910299</v>
      </c>
      <c r="J19" s="9">
        <f t="shared" si="2"/>
        <v>221000</v>
      </c>
      <c r="K19" s="20">
        <f t="shared" si="3"/>
        <v>73.421926910299</v>
      </c>
    </row>
    <row r="20" spans="1:11" ht="38.25" hidden="1">
      <c r="A20" s="18" t="s">
        <v>38</v>
      </c>
      <c r="B20" s="37" t="s">
        <v>39</v>
      </c>
      <c r="C20" s="42">
        <v>0</v>
      </c>
      <c r="D20" s="9">
        <v>0</v>
      </c>
      <c r="E20" s="43">
        <f t="shared" si="4"/>
        <v>0</v>
      </c>
      <c r="F20" s="42">
        <v>0</v>
      </c>
      <c r="G20" s="10" t="e">
        <f t="shared" si="0"/>
        <v>#DIV/0!</v>
      </c>
      <c r="H20" s="9">
        <v>0</v>
      </c>
      <c r="I20" s="10" t="e">
        <f t="shared" si="1"/>
        <v>#DIV/0!</v>
      </c>
      <c r="J20" s="9">
        <f t="shared" si="2"/>
        <v>0</v>
      </c>
      <c r="K20" s="20" t="e">
        <f t="shared" si="3"/>
        <v>#DIV/0!</v>
      </c>
    </row>
    <row r="21" spans="1:11" ht="12.75">
      <c r="A21" s="18" t="s">
        <v>84</v>
      </c>
      <c r="B21" s="37" t="s">
        <v>41</v>
      </c>
      <c r="C21" s="42">
        <v>100000</v>
      </c>
      <c r="D21" s="9">
        <v>-10646.358</v>
      </c>
      <c r="E21" s="43">
        <f t="shared" si="4"/>
        <v>89353.64199999999</v>
      </c>
      <c r="F21" s="42">
        <v>0</v>
      </c>
      <c r="G21" s="10">
        <f t="shared" si="0"/>
        <v>0</v>
      </c>
      <c r="H21" s="9">
        <v>60000</v>
      </c>
      <c r="I21" s="10">
        <f t="shared" si="1"/>
        <v>67.14891375104777</v>
      </c>
      <c r="J21" s="9">
        <f t="shared" si="2"/>
        <v>60000</v>
      </c>
      <c r="K21" s="20">
        <f t="shared" si="3"/>
        <v>67.14891375104777</v>
      </c>
    </row>
    <row r="22" spans="1:11" ht="12.75" hidden="1">
      <c r="A22" s="18" t="s">
        <v>42</v>
      </c>
      <c r="B22" s="38" t="s">
        <v>43</v>
      </c>
      <c r="C22" s="44">
        <f>SUM(C23)</f>
        <v>0</v>
      </c>
      <c r="D22" s="8">
        <f>SUM(D23)</f>
        <v>0</v>
      </c>
      <c r="E22" s="19">
        <f t="shared" si="4"/>
        <v>0</v>
      </c>
      <c r="F22" s="44">
        <f>SUM(F23)</f>
        <v>0</v>
      </c>
      <c r="G22" s="8" t="e">
        <f t="shared" si="0"/>
        <v>#DIV/0!</v>
      </c>
      <c r="H22" s="8">
        <f>SUM(H23)</f>
        <v>0</v>
      </c>
      <c r="I22" s="8" t="e">
        <f t="shared" si="1"/>
        <v>#DIV/0!</v>
      </c>
      <c r="J22" s="8">
        <f t="shared" si="2"/>
        <v>0</v>
      </c>
      <c r="K22" s="19" t="e">
        <f t="shared" si="3"/>
        <v>#DIV/0!</v>
      </c>
    </row>
    <row r="23" spans="1:11" ht="12.75" hidden="1">
      <c r="A23" s="18" t="s">
        <v>44</v>
      </c>
      <c r="B23" s="37" t="s">
        <v>45</v>
      </c>
      <c r="C23" s="42">
        <v>0</v>
      </c>
      <c r="D23" s="9">
        <v>0</v>
      </c>
      <c r="E23" s="43">
        <f t="shared" si="4"/>
        <v>0</v>
      </c>
      <c r="F23" s="42">
        <v>0</v>
      </c>
      <c r="G23" s="10" t="e">
        <f t="shared" si="0"/>
        <v>#DIV/0!</v>
      </c>
      <c r="H23" s="9">
        <v>0</v>
      </c>
      <c r="I23" s="10" t="e">
        <f t="shared" si="1"/>
        <v>#DIV/0!</v>
      </c>
      <c r="J23" s="9">
        <f t="shared" si="2"/>
        <v>0</v>
      </c>
      <c r="K23" s="20" t="e">
        <f t="shared" si="3"/>
        <v>#DIV/0!</v>
      </c>
    </row>
    <row r="24" spans="1:11" ht="12.75" hidden="1">
      <c r="A24" s="18" t="s">
        <v>46</v>
      </c>
      <c r="B24" s="38" t="s">
        <v>47</v>
      </c>
      <c r="C24" s="44">
        <f>SUM(C25:C26)</f>
        <v>0</v>
      </c>
      <c r="D24" s="8">
        <f>SUM(D25:D26)</f>
        <v>0</v>
      </c>
      <c r="E24" s="19">
        <f t="shared" si="4"/>
        <v>0</v>
      </c>
      <c r="F24" s="44">
        <f>SUM(F25:F26)</f>
        <v>0</v>
      </c>
      <c r="G24" s="8" t="e">
        <f t="shared" si="0"/>
        <v>#DIV/0!</v>
      </c>
      <c r="H24" s="8">
        <f>SUM(H25:H26)</f>
        <v>0</v>
      </c>
      <c r="I24" s="8" t="e">
        <f t="shared" si="1"/>
        <v>#DIV/0!</v>
      </c>
      <c r="J24" s="8">
        <f>SUM(J25:J26)</f>
        <v>0</v>
      </c>
      <c r="K24" s="19" t="e">
        <f t="shared" si="3"/>
        <v>#DIV/0!</v>
      </c>
    </row>
    <row r="25" spans="1:11" ht="12.75" hidden="1">
      <c r="A25" s="18" t="s">
        <v>12</v>
      </c>
      <c r="B25" s="37" t="s">
        <v>49</v>
      </c>
      <c r="C25" s="42">
        <v>0</v>
      </c>
      <c r="D25" s="9"/>
      <c r="E25" s="43">
        <f t="shared" si="4"/>
        <v>0</v>
      </c>
      <c r="F25" s="42">
        <v>0</v>
      </c>
      <c r="G25" s="10" t="e">
        <f t="shared" si="0"/>
        <v>#DIV/0!</v>
      </c>
      <c r="H25" s="9">
        <v>0</v>
      </c>
      <c r="I25" s="10" t="e">
        <f t="shared" si="1"/>
        <v>#DIV/0!</v>
      </c>
      <c r="J25" s="9">
        <f aca="true" t="shared" si="5" ref="J25:J40">+F25+H25</f>
        <v>0</v>
      </c>
      <c r="K25" s="20" t="e">
        <f t="shared" si="3"/>
        <v>#DIV/0!</v>
      </c>
    </row>
    <row r="26" spans="1:11" ht="12.75" hidden="1">
      <c r="A26" s="18" t="s">
        <v>12</v>
      </c>
      <c r="B26" s="37" t="s">
        <v>50</v>
      </c>
      <c r="C26" s="42">
        <v>0</v>
      </c>
      <c r="D26" s="9"/>
      <c r="E26" s="43">
        <f t="shared" si="4"/>
        <v>0</v>
      </c>
      <c r="F26" s="42">
        <v>0</v>
      </c>
      <c r="G26" s="10" t="e">
        <f t="shared" si="0"/>
        <v>#DIV/0!</v>
      </c>
      <c r="H26" s="9"/>
      <c r="I26" s="10" t="e">
        <f t="shared" si="1"/>
        <v>#DIV/0!</v>
      </c>
      <c r="J26" s="9">
        <f t="shared" si="5"/>
        <v>0</v>
      </c>
      <c r="K26" s="20" t="e">
        <f t="shared" si="3"/>
        <v>#DIV/0!</v>
      </c>
    </row>
    <row r="27" spans="1:11" ht="12.75">
      <c r="A27" s="18" t="s">
        <v>51</v>
      </c>
      <c r="B27" s="38" t="s">
        <v>52</v>
      </c>
      <c r="C27" s="44">
        <f>SUM(C28:C32)</f>
        <v>721500</v>
      </c>
      <c r="D27" s="8">
        <f>SUM(D28:D32)</f>
        <v>-29500</v>
      </c>
      <c r="E27" s="19">
        <f t="shared" si="4"/>
        <v>692000</v>
      </c>
      <c r="F27" s="44">
        <f>SUM(F28:F32)</f>
        <v>92856.684</v>
      </c>
      <c r="G27" s="8">
        <f t="shared" si="0"/>
        <v>13.418595953757226</v>
      </c>
      <c r="H27" s="8">
        <f>SUM(H28:H32)</f>
        <v>543128.1359999999</v>
      </c>
      <c r="I27" s="8">
        <f t="shared" si="1"/>
        <v>78.48672485549132</v>
      </c>
      <c r="J27" s="8">
        <f t="shared" si="5"/>
        <v>635984.82</v>
      </c>
      <c r="K27" s="19">
        <f t="shared" si="3"/>
        <v>91.90532080924855</v>
      </c>
    </row>
    <row r="28" spans="1:11" ht="25.5" hidden="1">
      <c r="A28" s="18" t="s">
        <v>51</v>
      </c>
      <c r="B28" s="37" t="s">
        <v>53</v>
      </c>
      <c r="C28" s="42">
        <v>0</v>
      </c>
      <c r="D28" s="9">
        <v>0</v>
      </c>
      <c r="E28" s="43">
        <f t="shared" si="4"/>
        <v>0</v>
      </c>
      <c r="F28" s="42">
        <v>0</v>
      </c>
      <c r="G28" s="10" t="e">
        <f t="shared" si="0"/>
        <v>#DIV/0!</v>
      </c>
      <c r="H28" s="9">
        <v>0</v>
      </c>
      <c r="I28" s="10" t="e">
        <f t="shared" si="1"/>
        <v>#DIV/0!</v>
      </c>
      <c r="J28" s="9">
        <f t="shared" si="5"/>
        <v>0</v>
      </c>
      <c r="K28" s="20" t="e">
        <f t="shared" si="3"/>
        <v>#DIV/0!</v>
      </c>
    </row>
    <row r="29" spans="1:11" ht="38.25">
      <c r="A29" s="18" t="s">
        <v>54</v>
      </c>
      <c r="B29" s="37" t="s">
        <v>55</v>
      </c>
      <c r="C29" s="42">
        <v>140000</v>
      </c>
      <c r="D29" s="9">
        <v>-29500</v>
      </c>
      <c r="E29" s="43">
        <f t="shared" si="4"/>
        <v>110500</v>
      </c>
      <c r="F29" s="42">
        <v>0</v>
      </c>
      <c r="G29" s="10">
        <f t="shared" si="0"/>
        <v>0</v>
      </c>
      <c r="H29" s="9">
        <v>109767.04</v>
      </c>
      <c r="I29" s="10">
        <f t="shared" si="1"/>
        <v>99.33668778280543</v>
      </c>
      <c r="J29" s="9">
        <f t="shared" si="5"/>
        <v>109767.04</v>
      </c>
      <c r="K29" s="20">
        <f t="shared" si="3"/>
        <v>99.33668778280543</v>
      </c>
    </row>
    <row r="30" spans="1:11" ht="25.5" hidden="1">
      <c r="A30" s="18" t="s">
        <v>56</v>
      </c>
      <c r="B30" s="37" t="s">
        <v>57</v>
      </c>
      <c r="C30" s="42">
        <v>0</v>
      </c>
      <c r="D30" s="9">
        <v>0</v>
      </c>
      <c r="E30" s="43">
        <f t="shared" si="4"/>
        <v>0</v>
      </c>
      <c r="F30" s="42">
        <v>0</v>
      </c>
      <c r="G30" s="10" t="e">
        <f t="shared" si="0"/>
        <v>#DIV/0!</v>
      </c>
      <c r="H30" s="9">
        <v>0</v>
      </c>
      <c r="I30" s="10" t="e">
        <f t="shared" si="1"/>
        <v>#DIV/0!</v>
      </c>
      <c r="J30" s="9">
        <f t="shared" si="5"/>
        <v>0</v>
      </c>
      <c r="K30" s="20" t="e">
        <f t="shared" si="3"/>
        <v>#DIV/0!</v>
      </c>
    </row>
    <row r="31" spans="1:11" ht="25.5">
      <c r="A31" s="18" t="s">
        <v>58</v>
      </c>
      <c r="B31" s="37" t="s">
        <v>59</v>
      </c>
      <c r="C31" s="42">
        <v>521500</v>
      </c>
      <c r="D31" s="9">
        <v>0</v>
      </c>
      <c r="E31" s="43">
        <f t="shared" si="4"/>
        <v>521500</v>
      </c>
      <c r="F31" s="42">
        <v>92856.684</v>
      </c>
      <c r="G31" s="10">
        <f t="shared" si="0"/>
        <v>17.805692042186</v>
      </c>
      <c r="H31" s="9">
        <f>495472.78-F31</f>
        <v>402616.096</v>
      </c>
      <c r="I31" s="10">
        <f t="shared" si="1"/>
        <v>77.20346999041227</v>
      </c>
      <c r="J31" s="9">
        <f t="shared" si="5"/>
        <v>495472.78</v>
      </c>
      <c r="K31" s="20">
        <f t="shared" si="3"/>
        <v>95.00916203259828</v>
      </c>
    </row>
    <row r="32" spans="1:11" ht="25.5">
      <c r="A32" s="18" t="s">
        <v>60</v>
      </c>
      <c r="B32" s="37" t="s">
        <v>61</v>
      </c>
      <c r="C32" s="42">
        <v>60000</v>
      </c>
      <c r="D32" s="9">
        <v>0</v>
      </c>
      <c r="E32" s="43">
        <f t="shared" si="4"/>
        <v>60000</v>
      </c>
      <c r="F32" s="42">
        <v>0</v>
      </c>
      <c r="G32" s="10">
        <f t="shared" si="0"/>
        <v>0</v>
      </c>
      <c r="H32" s="9">
        <v>30745</v>
      </c>
      <c r="I32" s="10">
        <f t="shared" si="1"/>
        <v>51.24166666666666</v>
      </c>
      <c r="J32" s="9">
        <f t="shared" si="5"/>
        <v>30745</v>
      </c>
      <c r="K32" s="20">
        <f t="shared" si="3"/>
        <v>51.24166666666666</v>
      </c>
    </row>
    <row r="33" spans="1:11" ht="12.75">
      <c r="A33" s="18" t="s">
        <v>62</v>
      </c>
      <c r="B33" s="38" t="s">
        <v>63</v>
      </c>
      <c r="C33" s="44">
        <f>SUM(C34:C36)</f>
        <v>969449.12</v>
      </c>
      <c r="D33" s="8">
        <f>SUM(D34:D36)</f>
        <v>208062.327</v>
      </c>
      <c r="E33" s="19">
        <f t="shared" si="4"/>
        <v>1177511.447</v>
      </c>
      <c r="F33" s="44">
        <f>SUM(F34:F36)</f>
        <v>1105032.399</v>
      </c>
      <c r="G33" s="8">
        <f t="shared" si="0"/>
        <v>93.84472667466137</v>
      </c>
      <c r="H33" s="8">
        <f>SUM(H34:H36)</f>
        <v>63491.68200000003</v>
      </c>
      <c r="I33" s="8">
        <f t="shared" si="1"/>
        <v>5.3920224862153745</v>
      </c>
      <c r="J33" s="8">
        <f t="shared" si="5"/>
        <v>1168524.081</v>
      </c>
      <c r="K33" s="19">
        <f t="shared" si="3"/>
        <v>99.23674916087674</v>
      </c>
    </row>
    <row r="34" spans="1:11" ht="12.75">
      <c r="A34" s="18" t="s">
        <v>64</v>
      </c>
      <c r="B34" s="37" t="s">
        <v>65</v>
      </c>
      <c r="C34" s="42">
        <v>969449.12</v>
      </c>
      <c r="D34" s="9">
        <v>208062.327</v>
      </c>
      <c r="E34" s="43">
        <f t="shared" si="4"/>
        <v>1177511.447</v>
      </c>
      <c r="F34" s="42">
        <v>1105032.399</v>
      </c>
      <c r="G34" s="10">
        <f t="shared" si="0"/>
        <v>93.84472667466137</v>
      </c>
      <c r="H34" s="9">
        <f>1168524.081-F34</f>
        <v>63491.68200000003</v>
      </c>
      <c r="I34" s="10">
        <f t="shared" si="1"/>
        <v>5.3920224862153745</v>
      </c>
      <c r="J34" s="9">
        <f t="shared" si="5"/>
        <v>1168524.081</v>
      </c>
      <c r="K34" s="20">
        <f t="shared" si="3"/>
        <v>99.23674916087674</v>
      </c>
    </row>
    <row r="35" spans="1:11" ht="25.5" hidden="1">
      <c r="A35" s="18" t="s">
        <v>66</v>
      </c>
      <c r="B35" s="37" t="s">
        <v>67</v>
      </c>
      <c r="C35" s="42">
        <v>0</v>
      </c>
      <c r="D35" s="9">
        <v>0</v>
      </c>
      <c r="E35" s="43">
        <f t="shared" si="4"/>
        <v>0</v>
      </c>
      <c r="F35" s="42">
        <v>0</v>
      </c>
      <c r="G35" s="10" t="e">
        <f t="shared" si="0"/>
        <v>#DIV/0!</v>
      </c>
      <c r="H35" s="9">
        <v>0</v>
      </c>
      <c r="I35" s="10" t="e">
        <f t="shared" si="1"/>
        <v>#DIV/0!</v>
      </c>
      <c r="J35" s="9">
        <f t="shared" si="5"/>
        <v>0</v>
      </c>
      <c r="K35" s="20" t="e">
        <f t="shared" si="3"/>
        <v>#DIV/0!</v>
      </c>
    </row>
    <row r="36" spans="1:11" ht="12.75" hidden="1">
      <c r="A36" s="18" t="s">
        <v>82</v>
      </c>
      <c r="B36" s="37" t="s">
        <v>69</v>
      </c>
      <c r="C36" s="42">
        <v>0</v>
      </c>
      <c r="D36" s="9">
        <v>0</v>
      </c>
      <c r="E36" s="43">
        <f t="shared" si="4"/>
        <v>0</v>
      </c>
      <c r="F36" s="42">
        <v>0</v>
      </c>
      <c r="G36" s="10" t="e">
        <f t="shared" si="0"/>
        <v>#DIV/0!</v>
      </c>
      <c r="H36" s="9">
        <v>0</v>
      </c>
      <c r="I36" s="10" t="e">
        <f t="shared" si="1"/>
        <v>#DIV/0!</v>
      </c>
      <c r="J36" s="9">
        <f t="shared" si="5"/>
        <v>0</v>
      </c>
      <c r="K36" s="20" t="e">
        <f t="shared" si="3"/>
        <v>#DIV/0!</v>
      </c>
    </row>
    <row r="37" spans="1:11" ht="12.75">
      <c r="A37" s="18">
        <v>334</v>
      </c>
      <c r="B37" s="38" t="s">
        <v>70</v>
      </c>
      <c r="C37" s="44">
        <v>0</v>
      </c>
      <c r="D37" s="8">
        <v>252624.35</v>
      </c>
      <c r="E37" s="19">
        <f t="shared" si="4"/>
        <v>252624.35</v>
      </c>
      <c r="F37" s="44">
        <v>178565.308</v>
      </c>
      <c r="G37" s="8">
        <f t="shared" si="0"/>
        <v>70.68412368008072</v>
      </c>
      <c r="H37" s="8">
        <f>190438.563-F37</f>
        <v>11873.255000000005</v>
      </c>
      <c r="I37" s="8">
        <f t="shared" si="1"/>
        <v>4.699964591695141</v>
      </c>
      <c r="J37" s="8">
        <f t="shared" si="5"/>
        <v>190438.563</v>
      </c>
      <c r="K37" s="19">
        <f t="shared" si="3"/>
        <v>75.38408827177585</v>
      </c>
    </row>
    <row r="38" spans="1:11" ht="12.75">
      <c r="A38" s="18" t="s">
        <v>71</v>
      </c>
      <c r="B38" s="37" t="s">
        <v>72</v>
      </c>
      <c r="C38" s="42">
        <v>0</v>
      </c>
      <c r="D38" s="8">
        <v>3786845.222</v>
      </c>
      <c r="E38" s="19">
        <f t="shared" si="4"/>
        <v>3786845.222</v>
      </c>
      <c r="F38" s="44">
        <v>2432513.334</v>
      </c>
      <c r="G38" s="8">
        <f t="shared" si="0"/>
        <v>64.23587950909919</v>
      </c>
      <c r="H38" s="8">
        <f>3786845.222-F38</f>
        <v>1354331.8880000003</v>
      </c>
      <c r="I38" s="8">
        <f t="shared" si="1"/>
        <v>35.76412049090081</v>
      </c>
      <c r="J38" s="8">
        <f t="shared" si="5"/>
        <v>3786845.222</v>
      </c>
      <c r="K38" s="19">
        <f t="shared" si="3"/>
        <v>100</v>
      </c>
    </row>
    <row r="39" spans="1:11" ht="12.75">
      <c r="A39" s="18" t="s">
        <v>73</v>
      </c>
      <c r="B39" s="37" t="s">
        <v>74</v>
      </c>
      <c r="C39" s="42">
        <v>0</v>
      </c>
      <c r="D39" s="8">
        <v>208143.779</v>
      </c>
      <c r="E39" s="19">
        <f t="shared" si="4"/>
        <v>208143.779</v>
      </c>
      <c r="F39" s="44">
        <v>208143.779</v>
      </c>
      <c r="G39" s="8">
        <f t="shared" si="0"/>
        <v>100</v>
      </c>
      <c r="H39" s="8"/>
      <c r="I39" s="8">
        <f t="shared" si="1"/>
        <v>0</v>
      </c>
      <c r="J39" s="8">
        <f t="shared" si="5"/>
        <v>208143.779</v>
      </c>
      <c r="K39" s="19">
        <f t="shared" si="3"/>
        <v>100</v>
      </c>
    </row>
    <row r="40" spans="1:11" ht="12.75">
      <c r="A40" s="18" t="s">
        <v>75</v>
      </c>
      <c r="B40" s="37" t="s">
        <v>76</v>
      </c>
      <c r="C40" s="42"/>
      <c r="D40" s="8">
        <v>10646.358</v>
      </c>
      <c r="E40" s="19">
        <f t="shared" si="4"/>
        <v>10646.358</v>
      </c>
      <c r="F40" s="44">
        <v>10522.923</v>
      </c>
      <c r="G40" s="8">
        <f t="shared" si="0"/>
        <v>98.84058942973738</v>
      </c>
      <c r="H40" s="8">
        <v>0</v>
      </c>
      <c r="I40" s="8">
        <f t="shared" si="1"/>
        <v>0</v>
      </c>
      <c r="J40" s="8">
        <f t="shared" si="5"/>
        <v>10522.923</v>
      </c>
      <c r="K40" s="19">
        <f t="shared" si="3"/>
        <v>98.84058942973738</v>
      </c>
    </row>
    <row r="41" spans="1:11" ht="12.75">
      <c r="A41" s="21"/>
      <c r="B41" s="38" t="s">
        <v>77</v>
      </c>
      <c r="C41" s="44">
        <f>+C7+C14+C18+C22+C24+C27+C33+C37</f>
        <v>5402449.12</v>
      </c>
      <c r="D41" s="8">
        <f>+D7+D14+D18+D22+D24+D27+D33+D37+D38+D39+D40</f>
        <v>4972989</v>
      </c>
      <c r="E41" s="19">
        <f>+E7+E14+E18+E22+E24+E27+E33+E37+E38+E39+E40</f>
        <v>10375438.119999997</v>
      </c>
      <c r="F41" s="44">
        <f>+F7+F14+F18+F22+F24+F27+F33+F37+F38+F39+F40</f>
        <v>4530722.119</v>
      </c>
      <c r="G41" s="8">
        <f t="shared" si="0"/>
        <v>43.667766764147025</v>
      </c>
      <c r="H41" s="8">
        <f>+H7+H14+H18+H22+H24+H27+H33+H37+H38+H39+H40</f>
        <v>5340790.833</v>
      </c>
      <c r="I41" s="8">
        <f t="shared" si="1"/>
        <v>51.47532828232993</v>
      </c>
      <c r="J41" s="8">
        <f>+J7+J14+J18+J22+J24+J27+J33+J37+J38+J39+J40</f>
        <v>9871512.952</v>
      </c>
      <c r="K41" s="19">
        <f t="shared" si="3"/>
        <v>95.14309504647696</v>
      </c>
    </row>
    <row r="42" spans="1:11" ht="12.75">
      <c r="A42" s="18">
        <v>4</v>
      </c>
      <c r="B42" s="37" t="s">
        <v>78</v>
      </c>
      <c r="C42" s="44"/>
      <c r="D42" s="8">
        <v>2145842.587</v>
      </c>
      <c r="E42" s="19">
        <f t="shared" si="4"/>
        <v>2145842.587</v>
      </c>
      <c r="F42" s="42">
        <v>0</v>
      </c>
      <c r="G42" s="10">
        <f t="shared" si="0"/>
        <v>0</v>
      </c>
      <c r="H42" s="9"/>
      <c r="I42" s="10">
        <f t="shared" si="1"/>
        <v>0</v>
      </c>
      <c r="J42" s="9"/>
      <c r="K42" s="20">
        <f t="shared" si="3"/>
        <v>0</v>
      </c>
    </row>
    <row r="43" spans="1:11" ht="26.25" thickBot="1">
      <c r="A43" s="22"/>
      <c r="B43" s="39" t="s">
        <v>79</v>
      </c>
      <c r="C43" s="45">
        <f>+C41+C42</f>
        <v>5402449.12</v>
      </c>
      <c r="D43" s="23">
        <f>+D41+D42</f>
        <v>7118831.586999999</v>
      </c>
      <c r="E43" s="24">
        <f t="shared" si="4"/>
        <v>12521280.706999999</v>
      </c>
      <c r="F43" s="45">
        <f>+F41+F42</f>
        <v>4530722.119</v>
      </c>
      <c r="G43" s="23">
        <f t="shared" si="0"/>
        <v>36.18417496596101</v>
      </c>
      <c r="H43" s="23">
        <f>+H41+H42</f>
        <v>5340790.833</v>
      </c>
      <c r="I43" s="23">
        <f t="shared" si="1"/>
        <v>42.653710574623894</v>
      </c>
      <c r="J43" s="23">
        <f>+J41+J42</f>
        <v>9871512.952</v>
      </c>
      <c r="K43" s="24">
        <f t="shared" si="3"/>
        <v>78.8378855405849</v>
      </c>
    </row>
    <row r="44" ht="12.75">
      <c r="J44" s="3"/>
    </row>
  </sheetData>
  <mergeCells count="5">
    <mergeCell ref="C5:E5"/>
    <mergeCell ref="F5:K5"/>
    <mergeCell ref="C1:I1"/>
    <mergeCell ref="C2:I2"/>
    <mergeCell ref="C3:I3"/>
  </mergeCells>
  <printOptions horizontalCentered="1" verticalCentered="1"/>
  <pageMargins left="0" right="0" top="0.3937007874015748" bottom="0.5905511811023623" header="0" footer="0.2755905511811024"/>
  <pageSetup horizontalDpi="600" verticalDpi="600" orientation="landscape" scale="80" r:id="rId1"/>
  <headerFooter alignWithMargins="0">
    <oddFooter>&amp;LFuente: Ejecución presupuestal&amp;R&amp;Z&amp;F/rchg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14" sqref="A14"/>
    </sheetView>
  </sheetViews>
  <sheetFormatPr defaultColWidth="11.421875" defaultRowHeight="12.75"/>
  <cols>
    <col min="2" max="2" width="38.140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3.140625" style="0" customWidth="1"/>
    <col min="9" max="9" width="8.421875" style="0" customWidth="1"/>
    <col min="10" max="10" width="12.00390625" style="0" customWidth="1"/>
    <col min="11" max="11" width="8.57421875" style="0" customWidth="1"/>
  </cols>
  <sheetData>
    <row r="1" spans="1:11" ht="12.75">
      <c r="A1" s="56" t="s">
        <v>93</v>
      </c>
      <c r="B1" s="13"/>
      <c r="C1" s="54" t="s">
        <v>89</v>
      </c>
      <c r="D1" s="54"/>
      <c r="E1" s="54"/>
      <c r="F1" s="54"/>
      <c r="G1" s="54"/>
      <c r="H1" s="54"/>
      <c r="I1" s="54"/>
      <c r="J1" s="13"/>
      <c r="K1" s="13"/>
    </row>
    <row r="2" spans="1:11" ht="12.75">
      <c r="A2" s="56" t="s">
        <v>94</v>
      </c>
      <c r="B2" s="13"/>
      <c r="C2" s="54" t="s">
        <v>1</v>
      </c>
      <c r="D2" s="54"/>
      <c r="E2" s="54"/>
      <c r="F2" s="54"/>
      <c r="G2" s="54"/>
      <c r="H2" s="54"/>
      <c r="I2" s="54"/>
      <c r="J2" s="13"/>
      <c r="K2" s="13"/>
    </row>
    <row r="3" spans="1:11" ht="12.75">
      <c r="A3" s="56" t="s">
        <v>95</v>
      </c>
      <c r="B3" s="13"/>
      <c r="C3" s="55" t="s">
        <v>2</v>
      </c>
      <c r="D3" s="55"/>
      <c r="E3" s="55"/>
      <c r="F3" s="55"/>
      <c r="G3" s="55"/>
      <c r="H3" s="55"/>
      <c r="I3" s="55"/>
      <c r="J3" s="13"/>
      <c r="K3" s="13"/>
    </row>
    <row r="4" spans="1:11" ht="13.5" thickBot="1">
      <c r="A4" s="56" t="s">
        <v>96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7"/>
      <c r="B5" s="34"/>
      <c r="C5" s="40" t="s">
        <v>90</v>
      </c>
      <c r="D5" s="25"/>
      <c r="E5" s="30"/>
      <c r="F5" s="40" t="s">
        <v>10</v>
      </c>
      <c r="G5" s="25"/>
      <c r="H5" s="25"/>
      <c r="I5" s="25"/>
      <c r="J5" s="25"/>
      <c r="K5" s="30"/>
    </row>
    <row r="6" spans="1:11" ht="13.5" thickBot="1">
      <c r="A6" s="46" t="s">
        <v>3</v>
      </c>
      <c r="B6" s="47" t="s">
        <v>4</v>
      </c>
      <c r="C6" s="46" t="s">
        <v>5</v>
      </c>
      <c r="D6" s="11" t="s">
        <v>6</v>
      </c>
      <c r="E6" s="48" t="s">
        <v>7</v>
      </c>
      <c r="F6" s="46" t="s">
        <v>8</v>
      </c>
      <c r="G6" s="11" t="s">
        <v>91</v>
      </c>
      <c r="H6" s="11" t="s">
        <v>9</v>
      </c>
      <c r="I6" s="11" t="s">
        <v>91</v>
      </c>
      <c r="J6" s="11" t="s">
        <v>92</v>
      </c>
      <c r="K6" s="48" t="s">
        <v>11</v>
      </c>
    </row>
    <row r="7" spans="1:11" ht="12.75">
      <c r="A7" s="49" t="s">
        <v>12</v>
      </c>
      <c r="B7" s="52" t="s">
        <v>13</v>
      </c>
      <c r="C7" s="53">
        <f>SUM(C8:C13)</f>
        <v>6357909.04</v>
      </c>
      <c r="D7" s="50">
        <f>SUM(D8:D13)</f>
        <v>2609643</v>
      </c>
      <c r="E7" s="51">
        <f>+C7+D7</f>
        <v>8967552.04</v>
      </c>
      <c r="F7" s="53">
        <f>SUM(F8:F13)</f>
        <v>598800.765</v>
      </c>
      <c r="G7" s="50">
        <f aca="true" t="shared" si="0" ref="G7:G43">+F7/E7*100</f>
        <v>6.677416114554269</v>
      </c>
      <c r="H7" s="50">
        <f>SUM(H8:H13)</f>
        <v>7301856.791999999</v>
      </c>
      <c r="I7" s="50">
        <f aca="true" t="shared" si="1" ref="I7:I43">+H7/E7*100</f>
        <v>81.42530714547156</v>
      </c>
      <c r="J7" s="50">
        <f aca="true" t="shared" si="2" ref="J7:J23">+F7+H7</f>
        <v>7900657.556999999</v>
      </c>
      <c r="K7" s="51">
        <f aca="true" t="shared" si="3" ref="K7:K43">+J7/E7*100</f>
        <v>88.10272326002581</v>
      </c>
    </row>
    <row r="8" spans="1:11" ht="25.5">
      <c r="A8" s="18" t="s">
        <v>14</v>
      </c>
      <c r="B8" s="37" t="s">
        <v>81</v>
      </c>
      <c r="C8" s="42">
        <v>4357909.04</v>
      </c>
      <c r="D8" s="9">
        <v>1240000</v>
      </c>
      <c r="E8" s="43">
        <f>+C8+D8</f>
        <v>5597909.04</v>
      </c>
      <c r="F8" s="42">
        <v>500000</v>
      </c>
      <c r="G8" s="10">
        <f t="shared" si="0"/>
        <v>8.931906474850473</v>
      </c>
      <c r="H8" s="9">
        <f>4795409.84-F8</f>
        <v>4295409.84</v>
      </c>
      <c r="I8" s="10">
        <f t="shared" si="1"/>
        <v>76.73239792406488</v>
      </c>
      <c r="J8" s="9">
        <f t="shared" si="2"/>
        <v>4795409.84</v>
      </c>
      <c r="K8" s="20">
        <f t="shared" si="3"/>
        <v>85.66430439891535</v>
      </c>
    </row>
    <row r="9" spans="1:11" ht="25.5">
      <c r="A9" s="18" t="s">
        <v>16</v>
      </c>
      <c r="B9" s="37" t="s">
        <v>17</v>
      </c>
      <c r="C9" s="42">
        <v>800000</v>
      </c>
      <c r="D9" s="9">
        <v>1224643</v>
      </c>
      <c r="E9" s="43">
        <f aca="true" t="shared" si="4" ref="E9:E43">+C9+D9</f>
        <v>2024643</v>
      </c>
      <c r="F9" s="42">
        <v>11894.887</v>
      </c>
      <c r="G9" s="10">
        <f t="shared" si="0"/>
        <v>0.5875054021869535</v>
      </c>
      <c r="H9" s="9">
        <f>1884623.145-F9</f>
        <v>1872728.258</v>
      </c>
      <c r="I9" s="10">
        <f t="shared" si="1"/>
        <v>92.4967146306781</v>
      </c>
      <c r="J9" s="9">
        <f t="shared" si="2"/>
        <v>1884623.145</v>
      </c>
      <c r="K9" s="20">
        <f t="shared" si="3"/>
        <v>93.08422003286505</v>
      </c>
    </row>
    <row r="10" spans="1:11" ht="38.25">
      <c r="A10" s="18" t="s">
        <v>18</v>
      </c>
      <c r="B10" s="37" t="s">
        <v>19</v>
      </c>
      <c r="C10" s="42">
        <v>800000</v>
      </c>
      <c r="D10" s="9">
        <v>45000</v>
      </c>
      <c r="E10" s="43">
        <f t="shared" si="4"/>
        <v>845000</v>
      </c>
      <c r="F10" s="42">
        <v>26905.878</v>
      </c>
      <c r="G10" s="10">
        <f t="shared" si="0"/>
        <v>3.1841275739644974</v>
      </c>
      <c r="H10" s="9">
        <f>720670.032-F10</f>
        <v>693764.154</v>
      </c>
      <c r="I10" s="10">
        <f t="shared" si="1"/>
        <v>82.10226674556212</v>
      </c>
      <c r="J10" s="9">
        <f t="shared" si="2"/>
        <v>720670.032</v>
      </c>
      <c r="K10" s="20">
        <f t="shared" si="3"/>
        <v>85.28639431952662</v>
      </c>
    </row>
    <row r="11" spans="1:11" ht="25.5">
      <c r="A11" s="18" t="s">
        <v>20</v>
      </c>
      <c r="B11" s="37" t="s">
        <v>21</v>
      </c>
      <c r="C11" s="42">
        <v>400000</v>
      </c>
      <c r="D11" s="9">
        <v>100000</v>
      </c>
      <c r="E11" s="43">
        <f t="shared" si="4"/>
        <v>500000</v>
      </c>
      <c r="F11" s="42">
        <v>60000</v>
      </c>
      <c r="G11" s="10">
        <f t="shared" si="0"/>
        <v>12</v>
      </c>
      <c r="H11" s="9">
        <f>499954.54-F11</f>
        <v>439954.54</v>
      </c>
      <c r="I11" s="10">
        <f t="shared" si="1"/>
        <v>87.990908</v>
      </c>
      <c r="J11" s="9">
        <f t="shared" si="2"/>
        <v>499954.54</v>
      </c>
      <c r="K11" s="20">
        <f t="shared" si="3"/>
        <v>99.990908</v>
      </c>
    </row>
    <row r="12" spans="1:11" ht="25.5" hidden="1">
      <c r="A12" s="18" t="s">
        <v>22</v>
      </c>
      <c r="B12" s="37" t="s">
        <v>23</v>
      </c>
      <c r="C12" s="42">
        <v>0</v>
      </c>
      <c r="D12" s="9">
        <v>0</v>
      </c>
      <c r="E12" s="43">
        <f t="shared" si="4"/>
        <v>0</v>
      </c>
      <c r="F12" s="42">
        <v>0</v>
      </c>
      <c r="G12" s="10" t="e">
        <f t="shared" si="0"/>
        <v>#DIV/0!</v>
      </c>
      <c r="H12" s="9">
        <v>0</v>
      </c>
      <c r="I12" s="10" t="e">
        <f t="shared" si="1"/>
        <v>#DIV/0!</v>
      </c>
      <c r="J12" s="9">
        <f t="shared" si="2"/>
        <v>0</v>
      </c>
      <c r="K12" s="20" t="e">
        <f t="shared" si="3"/>
        <v>#DIV/0!</v>
      </c>
    </row>
    <row r="13" spans="1:11" ht="12.75" hidden="1">
      <c r="A13" s="18" t="s">
        <v>24</v>
      </c>
      <c r="B13" s="37" t="s">
        <v>25</v>
      </c>
      <c r="C13" s="42">
        <v>0</v>
      </c>
      <c r="D13" s="9"/>
      <c r="E13" s="43">
        <f t="shared" si="4"/>
        <v>0</v>
      </c>
      <c r="F13" s="42"/>
      <c r="G13" s="10" t="e">
        <f t="shared" si="0"/>
        <v>#DIV/0!</v>
      </c>
      <c r="H13" s="9">
        <v>0</v>
      </c>
      <c r="I13" s="10" t="e">
        <f t="shared" si="1"/>
        <v>#DIV/0!</v>
      </c>
      <c r="J13" s="9">
        <f t="shared" si="2"/>
        <v>0</v>
      </c>
      <c r="K13" s="20" t="e">
        <f t="shared" si="3"/>
        <v>#DIV/0!</v>
      </c>
    </row>
    <row r="14" spans="1:11" ht="12.75">
      <c r="A14" s="18" t="s">
        <v>26</v>
      </c>
      <c r="B14" s="38" t="s">
        <v>27</v>
      </c>
      <c r="C14" s="44">
        <f>SUM(C15:C17)</f>
        <v>1850000</v>
      </c>
      <c r="D14" s="8">
        <f>SUM(D15:D17)</f>
        <v>296200</v>
      </c>
      <c r="E14" s="19">
        <f t="shared" si="4"/>
        <v>2146200</v>
      </c>
      <c r="F14" s="44">
        <f>SUM(F15:F17)</f>
        <v>722294.787</v>
      </c>
      <c r="G14" s="8">
        <f t="shared" si="0"/>
        <v>33.65458890131395</v>
      </c>
      <c r="H14" s="8">
        <f>SUM(H15:H17)</f>
        <v>1085425.793</v>
      </c>
      <c r="I14" s="8">
        <f t="shared" si="1"/>
        <v>50.57430775323829</v>
      </c>
      <c r="J14" s="8">
        <f t="shared" si="2"/>
        <v>1807720.58</v>
      </c>
      <c r="K14" s="19">
        <f t="shared" si="3"/>
        <v>84.22889665455223</v>
      </c>
    </row>
    <row r="15" spans="1:11" ht="12.75">
      <c r="A15" s="18" t="s">
        <v>28</v>
      </c>
      <c r="B15" s="37" t="s">
        <v>29</v>
      </c>
      <c r="C15" s="42">
        <v>950000</v>
      </c>
      <c r="D15" s="9">
        <v>216200</v>
      </c>
      <c r="E15" s="43">
        <f t="shared" si="4"/>
        <v>1166200</v>
      </c>
      <c r="F15" s="42">
        <v>475000</v>
      </c>
      <c r="G15" s="10">
        <f t="shared" si="0"/>
        <v>40.7305779454639</v>
      </c>
      <c r="H15" s="9">
        <f>944436.445-F15</f>
        <v>469436.44499999995</v>
      </c>
      <c r="I15" s="10">
        <f t="shared" si="1"/>
        <v>40.2535109758189</v>
      </c>
      <c r="J15" s="9">
        <f t="shared" si="2"/>
        <v>944436.445</v>
      </c>
      <c r="K15" s="20">
        <f t="shared" si="3"/>
        <v>80.98408892128279</v>
      </c>
    </row>
    <row r="16" spans="1:11" ht="25.5">
      <c r="A16" s="18" t="s">
        <v>30</v>
      </c>
      <c r="B16" s="37" t="s">
        <v>31</v>
      </c>
      <c r="C16" s="42">
        <v>550000</v>
      </c>
      <c r="D16" s="9">
        <v>0</v>
      </c>
      <c r="E16" s="43">
        <f t="shared" si="4"/>
        <v>550000</v>
      </c>
      <c r="F16" s="42">
        <v>235000</v>
      </c>
      <c r="G16" s="10">
        <f t="shared" si="0"/>
        <v>42.72727272727273</v>
      </c>
      <c r="H16" s="9">
        <f>537294.56-F16</f>
        <v>302294.56000000006</v>
      </c>
      <c r="I16" s="10">
        <f t="shared" si="1"/>
        <v>54.96264727272728</v>
      </c>
      <c r="J16" s="9">
        <f t="shared" si="2"/>
        <v>537294.56</v>
      </c>
      <c r="K16" s="20">
        <f t="shared" si="3"/>
        <v>97.68992</v>
      </c>
    </row>
    <row r="17" spans="1:11" ht="25.5">
      <c r="A17" s="18" t="s">
        <v>32</v>
      </c>
      <c r="B17" s="37" t="s">
        <v>33</v>
      </c>
      <c r="C17" s="42">
        <v>350000</v>
      </c>
      <c r="D17" s="9">
        <v>80000</v>
      </c>
      <c r="E17" s="43">
        <f t="shared" si="4"/>
        <v>430000</v>
      </c>
      <c r="F17" s="42">
        <v>12294.787</v>
      </c>
      <c r="G17" s="10">
        <f t="shared" si="0"/>
        <v>2.859252790697674</v>
      </c>
      <c r="H17" s="9">
        <f>325989.575-F17</f>
        <v>313694.788</v>
      </c>
      <c r="I17" s="10">
        <f t="shared" si="1"/>
        <v>72.95227627906978</v>
      </c>
      <c r="J17" s="9">
        <f t="shared" si="2"/>
        <v>325989.575</v>
      </c>
      <c r="K17" s="20">
        <f t="shared" si="3"/>
        <v>75.81152906976745</v>
      </c>
    </row>
    <row r="18" spans="1:11" ht="12.75">
      <c r="A18" s="18" t="s">
        <v>34</v>
      </c>
      <c r="B18" s="38" t="s">
        <v>35</v>
      </c>
      <c r="C18" s="44">
        <f>SUM(C19:C21)</f>
        <v>1140000</v>
      </c>
      <c r="D18" s="8">
        <f>SUM(D19:D21)</f>
        <v>140000</v>
      </c>
      <c r="E18" s="19">
        <f t="shared" si="4"/>
        <v>1280000</v>
      </c>
      <c r="F18" s="44">
        <f>SUM(F19:F21)</f>
        <v>0</v>
      </c>
      <c r="G18" s="8">
        <f t="shared" si="0"/>
        <v>0</v>
      </c>
      <c r="H18" s="8">
        <f>SUM(H19:H21)</f>
        <v>1210015.8229999999</v>
      </c>
      <c r="I18" s="8">
        <f t="shared" si="1"/>
        <v>94.53248617187498</v>
      </c>
      <c r="J18" s="8">
        <f t="shared" si="2"/>
        <v>1210015.8229999999</v>
      </c>
      <c r="K18" s="19">
        <f t="shared" si="3"/>
        <v>94.53248617187498</v>
      </c>
    </row>
    <row r="19" spans="1:11" ht="25.5">
      <c r="A19" s="18" t="s">
        <v>36</v>
      </c>
      <c r="B19" s="37" t="s">
        <v>37</v>
      </c>
      <c r="C19" s="42">
        <v>440000</v>
      </c>
      <c r="D19" s="9">
        <v>140000</v>
      </c>
      <c r="E19" s="43">
        <f t="shared" si="4"/>
        <v>580000</v>
      </c>
      <c r="F19" s="42">
        <v>0</v>
      </c>
      <c r="G19" s="10">
        <f t="shared" si="0"/>
        <v>0</v>
      </c>
      <c r="H19" s="9">
        <v>510015.823</v>
      </c>
      <c r="I19" s="10">
        <f t="shared" si="1"/>
        <v>87.93376258620688</v>
      </c>
      <c r="J19" s="9">
        <f t="shared" si="2"/>
        <v>510015.823</v>
      </c>
      <c r="K19" s="20">
        <f t="shared" si="3"/>
        <v>87.93376258620688</v>
      </c>
    </row>
    <row r="20" spans="1:11" ht="38.25">
      <c r="A20" s="18" t="s">
        <v>38</v>
      </c>
      <c r="B20" s="37" t="s">
        <v>39</v>
      </c>
      <c r="C20" s="42">
        <v>100000</v>
      </c>
      <c r="D20" s="9">
        <v>0</v>
      </c>
      <c r="E20" s="43">
        <f t="shared" si="4"/>
        <v>100000</v>
      </c>
      <c r="F20" s="42">
        <v>0</v>
      </c>
      <c r="G20" s="10">
        <f t="shared" si="0"/>
        <v>0</v>
      </c>
      <c r="H20" s="9">
        <v>100000</v>
      </c>
      <c r="I20" s="10">
        <f t="shared" si="1"/>
        <v>100</v>
      </c>
      <c r="J20" s="9">
        <f t="shared" si="2"/>
        <v>100000</v>
      </c>
      <c r="K20" s="20">
        <f t="shared" si="3"/>
        <v>100</v>
      </c>
    </row>
    <row r="21" spans="1:11" ht="12.75">
      <c r="A21" s="18" t="s">
        <v>84</v>
      </c>
      <c r="B21" s="37" t="s">
        <v>41</v>
      </c>
      <c r="C21" s="42">
        <v>600000</v>
      </c>
      <c r="D21" s="9">
        <v>0</v>
      </c>
      <c r="E21" s="43">
        <f t="shared" si="4"/>
        <v>600000</v>
      </c>
      <c r="F21" s="42">
        <v>0</v>
      </c>
      <c r="G21" s="10">
        <f t="shared" si="0"/>
        <v>0</v>
      </c>
      <c r="H21" s="9">
        <v>600000</v>
      </c>
      <c r="I21" s="10">
        <f t="shared" si="1"/>
        <v>100</v>
      </c>
      <c r="J21" s="9">
        <f t="shared" si="2"/>
        <v>600000</v>
      </c>
      <c r="K21" s="20">
        <f t="shared" si="3"/>
        <v>100</v>
      </c>
    </row>
    <row r="22" spans="1:11" ht="12.75">
      <c r="A22" s="18" t="s">
        <v>42</v>
      </c>
      <c r="B22" s="38" t="s">
        <v>43</v>
      </c>
      <c r="C22" s="44">
        <f>SUM(C23)</f>
        <v>1100000</v>
      </c>
      <c r="D22" s="8">
        <f>SUM(D23)</f>
        <v>0</v>
      </c>
      <c r="E22" s="19">
        <f t="shared" si="4"/>
        <v>1100000</v>
      </c>
      <c r="F22" s="44">
        <f>SUM(F23)</f>
        <v>0</v>
      </c>
      <c r="G22" s="8">
        <f t="shared" si="0"/>
        <v>0</v>
      </c>
      <c r="H22" s="8">
        <f>SUM(H23)</f>
        <v>1047530</v>
      </c>
      <c r="I22" s="8">
        <f t="shared" si="1"/>
        <v>95.23</v>
      </c>
      <c r="J22" s="8">
        <f t="shared" si="2"/>
        <v>1047530</v>
      </c>
      <c r="K22" s="19">
        <f t="shared" si="3"/>
        <v>95.23</v>
      </c>
    </row>
    <row r="23" spans="1:11" ht="12.75">
      <c r="A23" s="18" t="s">
        <v>44</v>
      </c>
      <c r="B23" s="37" t="s">
        <v>45</v>
      </c>
      <c r="C23" s="42">
        <v>1100000</v>
      </c>
      <c r="D23" s="9">
        <v>0</v>
      </c>
      <c r="E23" s="43">
        <f t="shared" si="4"/>
        <v>1100000</v>
      </c>
      <c r="F23" s="42">
        <v>0</v>
      </c>
      <c r="G23" s="10">
        <f t="shared" si="0"/>
        <v>0</v>
      </c>
      <c r="H23" s="9">
        <v>1047530</v>
      </c>
      <c r="I23" s="10">
        <f t="shared" si="1"/>
        <v>95.23</v>
      </c>
      <c r="J23" s="9">
        <f t="shared" si="2"/>
        <v>1047530</v>
      </c>
      <c r="K23" s="20">
        <f t="shared" si="3"/>
        <v>95.23</v>
      </c>
    </row>
    <row r="24" spans="1:11" ht="12.75" hidden="1">
      <c r="A24" s="18" t="s">
        <v>46</v>
      </c>
      <c r="B24" s="38" t="s">
        <v>47</v>
      </c>
      <c r="C24" s="44">
        <f>SUM(C25:C26)</f>
        <v>0</v>
      </c>
      <c r="D24" s="8">
        <f>SUM(D25:D26)</f>
        <v>0</v>
      </c>
      <c r="E24" s="19">
        <f t="shared" si="4"/>
        <v>0</v>
      </c>
      <c r="F24" s="44">
        <f>SUM(F25:F26)</f>
        <v>0</v>
      </c>
      <c r="G24" s="8" t="e">
        <f t="shared" si="0"/>
        <v>#DIV/0!</v>
      </c>
      <c r="H24" s="8">
        <f>SUM(H25:H26)</f>
        <v>0</v>
      </c>
      <c r="I24" s="8" t="e">
        <f t="shared" si="1"/>
        <v>#DIV/0!</v>
      </c>
      <c r="J24" s="8">
        <f>SUM(J25:J26)</f>
        <v>0</v>
      </c>
      <c r="K24" s="19" t="e">
        <f t="shared" si="3"/>
        <v>#DIV/0!</v>
      </c>
    </row>
    <row r="25" spans="1:11" ht="12.75" hidden="1">
      <c r="A25" s="18" t="s">
        <v>12</v>
      </c>
      <c r="B25" s="37" t="s">
        <v>49</v>
      </c>
      <c r="C25" s="42">
        <v>0</v>
      </c>
      <c r="D25" s="9"/>
      <c r="E25" s="43">
        <f t="shared" si="4"/>
        <v>0</v>
      </c>
      <c r="F25" s="42">
        <v>0</v>
      </c>
      <c r="G25" s="10" t="e">
        <f t="shared" si="0"/>
        <v>#DIV/0!</v>
      </c>
      <c r="H25" s="9">
        <v>0</v>
      </c>
      <c r="I25" s="10" t="e">
        <f t="shared" si="1"/>
        <v>#DIV/0!</v>
      </c>
      <c r="J25" s="9">
        <f aca="true" t="shared" si="5" ref="J25:J40">+F25+H25</f>
        <v>0</v>
      </c>
      <c r="K25" s="20" t="e">
        <f t="shared" si="3"/>
        <v>#DIV/0!</v>
      </c>
    </row>
    <row r="26" spans="1:11" ht="12.75" hidden="1">
      <c r="A26" s="18" t="s">
        <v>12</v>
      </c>
      <c r="B26" s="37" t="s">
        <v>50</v>
      </c>
      <c r="C26" s="42">
        <v>0</v>
      </c>
      <c r="D26" s="9"/>
      <c r="E26" s="43">
        <f t="shared" si="4"/>
        <v>0</v>
      </c>
      <c r="F26" s="42">
        <v>0</v>
      </c>
      <c r="G26" s="10" t="e">
        <f t="shared" si="0"/>
        <v>#DIV/0!</v>
      </c>
      <c r="H26" s="9"/>
      <c r="I26" s="10" t="e">
        <f t="shared" si="1"/>
        <v>#DIV/0!</v>
      </c>
      <c r="J26" s="9">
        <f t="shared" si="5"/>
        <v>0</v>
      </c>
      <c r="K26" s="20" t="e">
        <f t="shared" si="3"/>
        <v>#DIV/0!</v>
      </c>
    </row>
    <row r="27" spans="1:11" ht="12.75">
      <c r="A27" s="18" t="s">
        <v>51</v>
      </c>
      <c r="B27" s="38" t="s">
        <v>52</v>
      </c>
      <c r="C27" s="44">
        <f>SUM(C28:C32)</f>
        <v>720000</v>
      </c>
      <c r="D27" s="8">
        <f>SUM(D28:D32)</f>
        <v>60000</v>
      </c>
      <c r="E27" s="19">
        <f t="shared" si="4"/>
        <v>780000</v>
      </c>
      <c r="F27" s="44">
        <f>SUM(F28:F32)</f>
        <v>79493.968</v>
      </c>
      <c r="G27" s="8">
        <f t="shared" si="0"/>
        <v>10.191534358974359</v>
      </c>
      <c r="H27" s="8">
        <f>SUM(H28:H32)</f>
        <v>625158.5119999999</v>
      </c>
      <c r="I27" s="8">
        <f t="shared" si="1"/>
        <v>80.14852717948716</v>
      </c>
      <c r="J27" s="8">
        <f t="shared" si="5"/>
        <v>704652.4799999999</v>
      </c>
      <c r="K27" s="19">
        <f t="shared" si="3"/>
        <v>90.34006153846153</v>
      </c>
    </row>
    <row r="28" spans="1:11" ht="25.5">
      <c r="A28" s="18" t="s">
        <v>85</v>
      </c>
      <c r="B28" s="37" t="s">
        <v>53</v>
      </c>
      <c r="C28" s="42">
        <v>80000</v>
      </c>
      <c r="D28" s="9">
        <v>60000</v>
      </c>
      <c r="E28" s="43">
        <f t="shared" si="4"/>
        <v>140000</v>
      </c>
      <c r="F28" s="42">
        <v>0</v>
      </c>
      <c r="G28" s="10">
        <f t="shared" si="0"/>
        <v>0</v>
      </c>
      <c r="H28" s="9">
        <v>136292.148</v>
      </c>
      <c r="I28" s="10">
        <f t="shared" si="1"/>
        <v>97.35153428571428</v>
      </c>
      <c r="J28" s="9">
        <f t="shared" si="5"/>
        <v>136292.148</v>
      </c>
      <c r="K28" s="20">
        <f t="shared" si="3"/>
        <v>97.35153428571428</v>
      </c>
    </row>
    <row r="29" spans="1:11" ht="38.25">
      <c r="A29" s="18" t="s">
        <v>54</v>
      </c>
      <c r="B29" s="37" t="s">
        <v>55</v>
      </c>
      <c r="C29" s="42">
        <v>100000</v>
      </c>
      <c r="D29" s="9">
        <v>0</v>
      </c>
      <c r="E29" s="43">
        <f t="shared" si="4"/>
        <v>100000</v>
      </c>
      <c r="F29" s="42">
        <v>0</v>
      </c>
      <c r="G29" s="10">
        <f t="shared" si="0"/>
        <v>0</v>
      </c>
      <c r="H29" s="9">
        <v>94539.68</v>
      </c>
      <c r="I29" s="10">
        <f t="shared" si="1"/>
        <v>94.53967999999999</v>
      </c>
      <c r="J29" s="9">
        <f t="shared" si="5"/>
        <v>94539.68</v>
      </c>
      <c r="K29" s="20">
        <f t="shared" si="3"/>
        <v>94.53967999999999</v>
      </c>
    </row>
    <row r="30" spans="1:11" ht="25.5">
      <c r="A30" s="18" t="s">
        <v>56</v>
      </c>
      <c r="B30" s="37" t="s">
        <v>57</v>
      </c>
      <c r="C30" s="42">
        <v>145000</v>
      </c>
      <c r="D30" s="9">
        <v>0</v>
      </c>
      <c r="E30" s="43">
        <f t="shared" si="4"/>
        <v>145000</v>
      </c>
      <c r="F30" s="42">
        <v>23500</v>
      </c>
      <c r="G30" s="10">
        <f t="shared" si="0"/>
        <v>16.206896551724135</v>
      </c>
      <c r="H30" s="9">
        <f>99100-F30</f>
        <v>75600</v>
      </c>
      <c r="I30" s="10">
        <f t="shared" si="1"/>
        <v>52.137931034482754</v>
      </c>
      <c r="J30" s="9">
        <f t="shared" si="5"/>
        <v>99100</v>
      </c>
      <c r="K30" s="20">
        <f t="shared" si="3"/>
        <v>68.34482758620689</v>
      </c>
    </row>
    <row r="31" spans="1:11" ht="25.5">
      <c r="A31" s="18" t="s">
        <v>58</v>
      </c>
      <c r="B31" s="37" t="s">
        <v>59</v>
      </c>
      <c r="C31" s="42">
        <v>330000</v>
      </c>
      <c r="D31" s="9">
        <v>0</v>
      </c>
      <c r="E31" s="43">
        <f t="shared" si="4"/>
        <v>330000</v>
      </c>
      <c r="F31" s="42">
        <v>55993.968</v>
      </c>
      <c r="G31" s="10">
        <f t="shared" si="0"/>
        <v>16.96786909090909</v>
      </c>
      <c r="H31" s="9">
        <f>328646.56-F31</f>
        <v>272652.592</v>
      </c>
      <c r="I31" s="10">
        <f t="shared" si="1"/>
        <v>82.62199757575758</v>
      </c>
      <c r="J31" s="9">
        <f t="shared" si="5"/>
        <v>328646.56</v>
      </c>
      <c r="K31" s="20">
        <f t="shared" si="3"/>
        <v>99.58986666666667</v>
      </c>
    </row>
    <row r="32" spans="1:11" ht="25.5">
      <c r="A32" s="18" t="s">
        <v>60</v>
      </c>
      <c r="B32" s="37" t="s">
        <v>61</v>
      </c>
      <c r="C32" s="42">
        <v>65000</v>
      </c>
      <c r="D32" s="9">
        <v>0</v>
      </c>
      <c r="E32" s="43">
        <f t="shared" si="4"/>
        <v>65000</v>
      </c>
      <c r="F32" s="42">
        <v>0</v>
      </c>
      <c r="G32" s="10">
        <f t="shared" si="0"/>
        <v>0</v>
      </c>
      <c r="H32" s="9">
        <v>46074.092</v>
      </c>
      <c r="I32" s="10">
        <f t="shared" si="1"/>
        <v>70.88321846153846</v>
      </c>
      <c r="J32" s="9">
        <f t="shared" si="5"/>
        <v>46074.092</v>
      </c>
      <c r="K32" s="20">
        <f t="shared" si="3"/>
        <v>70.88321846153846</v>
      </c>
    </row>
    <row r="33" spans="1:11" ht="12.75">
      <c r="A33" s="18" t="s">
        <v>62</v>
      </c>
      <c r="B33" s="38" t="s">
        <v>63</v>
      </c>
      <c r="C33" s="44">
        <f>SUM(C34:C36)</f>
        <v>1547909.04</v>
      </c>
      <c r="D33" s="8">
        <f>SUM(D34:D36)</f>
        <v>425130.164</v>
      </c>
      <c r="E33" s="19">
        <f t="shared" si="4"/>
        <v>1973039.204</v>
      </c>
      <c r="F33" s="44">
        <f>SUM(F34:F36)</f>
        <v>1232348.491</v>
      </c>
      <c r="G33" s="8">
        <f t="shared" si="0"/>
        <v>62.45940214982165</v>
      </c>
      <c r="H33" s="8">
        <f>SUM(H34:H36)</f>
        <v>283087.816</v>
      </c>
      <c r="I33" s="8">
        <f t="shared" si="1"/>
        <v>14.347804920758179</v>
      </c>
      <c r="J33" s="8">
        <f t="shared" si="5"/>
        <v>1515436.307</v>
      </c>
      <c r="K33" s="19">
        <f t="shared" si="3"/>
        <v>76.80720707057984</v>
      </c>
    </row>
    <row r="34" spans="1:11" ht="12.75">
      <c r="A34" s="18" t="s">
        <v>64</v>
      </c>
      <c r="B34" s="37" t="s">
        <v>65</v>
      </c>
      <c r="C34" s="42">
        <v>981327.232</v>
      </c>
      <c r="D34" s="9">
        <v>244157</v>
      </c>
      <c r="E34" s="43">
        <f t="shared" si="4"/>
        <v>1225484.2319999998</v>
      </c>
      <c r="F34" s="42">
        <v>750654.058</v>
      </c>
      <c r="G34" s="10">
        <f t="shared" si="0"/>
        <v>61.253669235297025</v>
      </c>
      <c r="H34" s="9">
        <f>898496.874-F34</f>
        <v>147842.816</v>
      </c>
      <c r="I34" s="10">
        <f t="shared" si="1"/>
        <v>12.064032497482188</v>
      </c>
      <c r="J34" s="9">
        <f t="shared" si="5"/>
        <v>898496.874</v>
      </c>
      <c r="K34" s="20">
        <f t="shared" si="3"/>
        <v>73.31770173277921</v>
      </c>
    </row>
    <row r="35" spans="1:11" ht="25.5">
      <c r="A35" s="18" t="s">
        <v>66</v>
      </c>
      <c r="B35" s="37" t="s">
        <v>67</v>
      </c>
      <c r="C35" s="42">
        <v>416581.808</v>
      </c>
      <c r="D35" s="9">
        <v>80000</v>
      </c>
      <c r="E35" s="43">
        <f t="shared" si="4"/>
        <v>496581.808</v>
      </c>
      <c r="F35" s="42">
        <v>356927.373</v>
      </c>
      <c r="G35" s="10">
        <f t="shared" si="0"/>
        <v>71.87685236346798</v>
      </c>
      <c r="H35" s="9">
        <f>430852.373-F35</f>
        <v>73925</v>
      </c>
      <c r="I35" s="10">
        <f t="shared" si="1"/>
        <v>14.886771687777978</v>
      </c>
      <c r="J35" s="9">
        <f t="shared" si="5"/>
        <v>430852.373</v>
      </c>
      <c r="K35" s="20">
        <f t="shared" si="3"/>
        <v>86.76362405124596</v>
      </c>
    </row>
    <row r="36" spans="1:11" ht="12.75">
      <c r="A36" s="18" t="s">
        <v>82</v>
      </c>
      <c r="B36" s="37" t="s">
        <v>69</v>
      </c>
      <c r="C36" s="42">
        <v>150000</v>
      </c>
      <c r="D36" s="9">
        <v>100973.164</v>
      </c>
      <c r="E36" s="43">
        <f t="shared" si="4"/>
        <v>250973.164</v>
      </c>
      <c r="F36" s="42">
        <v>124767.06</v>
      </c>
      <c r="G36" s="10">
        <f t="shared" si="0"/>
        <v>49.713307196461855</v>
      </c>
      <c r="H36" s="9">
        <f>186087.06-F36</f>
        <v>61320</v>
      </c>
      <c r="I36" s="10">
        <f t="shared" si="1"/>
        <v>24.432891159630117</v>
      </c>
      <c r="J36" s="9">
        <f t="shared" si="5"/>
        <v>186087.06</v>
      </c>
      <c r="K36" s="20">
        <f t="shared" si="3"/>
        <v>74.14619835609197</v>
      </c>
    </row>
    <row r="37" spans="1:11" ht="12.75">
      <c r="A37" s="18">
        <v>334</v>
      </c>
      <c r="B37" s="38" t="s">
        <v>70</v>
      </c>
      <c r="C37" s="44">
        <v>1400000</v>
      </c>
      <c r="D37" s="8">
        <v>-985654.823</v>
      </c>
      <c r="E37" s="19">
        <f t="shared" si="4"/>
        <v>414345.177</v>
      </c>
      <c r="F37" s="44">
        <v>185264.404</v>
      </c>
      <c r="G37" s="8">
        <f t="shared" si="0"/>
        <v>44.71257644203253</v>
      </c>
      <c r="H37" s="8">
        <v>0</v>
      </c>
      <c r="I37" s="8">
        <f t="shared" si="1"/>
        <v>0</v>
      </c>
      <c r="J37" s="8">
        <f t="shared" si="5"/>
        <v>185264.404</v>
      </c>
      <c r="K37" s="19">
        <f t="shared" si="3"/>
        <v>44.71257644203253</v>
      </c>
    </row>
    <row r="38" spans="1:11" ht="12.75">
      <c r="A38" s="18" t="s">
        <v>71</v>
      </c>
      <c r="B38" s="37" t="s">
        <v>72</v>
      </c>
      <c r="C38" s="42">
        <v>0</v>
      </c>
      <c r="D38" s="8">
        <v>8623756.818</v>
      </c>
      <c r="E38" s="19">
        <f t="shared" si="4"/>
        <v>8623756.818</v>
      </c>
      <c r="F38" s="44">
        <v>6167265.337</v>
      </c>
      <c r="G38" s="8">
        <f t="shared" si="0"/>
        <v>71.51483358305431</v>
      </c>
      <c r="H38" s="8">
        <f>8623756.818-F38</f>
        <v>2456491.4809999997</v>
      </c>
      <c r="I38" s="8">
        <f t="shared" si="1"/>
        <v>28.485166416945685</v>
      </c>
      <c r="J38" s="8">
        <f t="shared" si="5"/>
        <v>8623756.818</v>
      </c>
      <c r="K38" s="19">
        <f t="shared" si="3"/>
        <v>100</v>
      </c>
    </row>
    <row r="39" spans="1:11" ht="12.75">
      <c r="A39" s="18" t="s">
        <v>73</v>
      </c>
      <c r="B39" s="37" t="s">
        <v>74</v>
      </c>
      <c r="C39" s="42">
        <v>0</v>
      </c>
      <c r="D39" s="8">
        <v>342293.374</v>
      </c>
      <c r="E39" s="19">
        <f t="shared" si="4"/>
        <v>342293.374</v>
      </c>
      <c r="F39" s="44">
        <v>342293.374</v>
      </c>
      <c r="G39" s="8">
        <f t="shared" si="0"/>
        <v>100</v>
      </c>
      <c r="H39" s="8"/>
      <c r="I39" s="8">
        <f t="shared" si="1"/>
        <v>0</v>
      </c>
      <c r="J39" s="8">
        <f t="shared" si="5"/>
        <v>342293.374</v>
      </c>
      <c r="K39" s="19">
        <f t="shared" si="3"/>
        <v>100</v>
      </c>
    </row>
    <row r="40" spans="1:11" ht="12.75">
      <c r="A40" s="18" t="s">
        <v>75</v>
      </c>
      <c r="B40" s="37" t="s">
        <v>76</v>
      </c>
      <c r="C40" s="42"/>
      <c r="D40" s="8">
        <v>985654.823</v>
      </c>
      <c r="E40" s="19">
        <f t="shared" si="4"/>
        <v>985654.823</v>
      </c>
      <c r="F40" s="44">
        <v>27101.846</v>
      </c>
      <c r="G40" s="8">
        <f t="shared" si="0"/>
        <v>2.749628507626143</v>
      </c>
      <c r="H40" s="8"/>
      <c r="I40" s="8">
        <f t="shared" si="1"/>
        <v>0</v>
      </c>
      <c r="J40" s="8">
        <f t="shared" si="5"/>
        <v>27101.846</v>
      </c>
      <c r="K40" s="19">
        <f t="shared" si="3"/>
        <v>2.749628507626143</v>
      </c>
    </row>
    <row r="41" spans="1:11" ht="12.75">
      <c r="A41" s="21"/>
      <c r="B41" s="38" t="s">
        <v>77</v>
      </c>
      <c r="C41" s="44">
        <f>+C7+C14+C18+C22+C24+C27+C33+C37</f>
        <v>14115818.079999998</v>
      </c>
      <c r="D41" s="8">
        <f>+D7+D14+D18+D22+D24+D27+D33+D37+D38+D39+D40</f>
        <v>12497023.356</v>
      </c>
      <c r="E41" s="19">
        <f>+E7+E14+E18+E22+E24+E27+E33+E37+E38+E39+E40</f>
        <v>26612841.436</v>
      </c>
      <c r="F41" s="44">
        <f>+F7+F14+F18+F22+F24+F27+F33+F37+F38+F39+F40</f>
        <v>9354862.972000001</v>
      </c>
      <c r="G41" s="8">
        <f t="shared" si="0"/>
        <v>35.15168793417674</v>
      </c>
      <c r="H41" s="8">
        <f>+H7+H14+H18+H22+H24+H27+H33+H37+H38+H39+H40</f>
        <v>14009566.217</v>
      </c>
      <c r="I41" s="8">
        <f t="shared" si="1"/>
        <v>52.64212861558193</v>
      </c>
      <c r="J41" s="8">
        <f>+J7+J14+J18+J22+J24+J27+J33+J37+J38+J39+J40</f>
        <v>23364429.189</v>
      </c>
      <c r="K41" s="19">
        <f t="shared" si="3"/>
        <v>87.79381654975866</v>
      </c>
    </row>
    <row r="42" spans="1:11" ht="12.75">
      <c r="A42" s="18">
        <v>4</v>
      </c>
      <c r="B42" s="37" t="s">
        <v>78</v>
      </c>
      <c r="C42" s="44"/>
      <c r="D42" s="8">
        <v>242057.693</v>
      </c>
      <c r="E42" s="19">
        <f t="shared" si="4"/>
        <v>242057.693</v>
      </c>
      <c r="F42" s="42">
        <v>0</v>
      </c>
      <c r="G42" s="10">
        <f t="shared" si="0"/>
        <v>0</v>
      </c>
      <c r="H42" s="9"/>
      <c r="I42" s="10">
        <f t="shared" si="1"/>
        <v>0</v>
      </c>
      <c r="J42" s="9"/>
      <c r="K42" s="20">
        <f t="shared" si="3"/>
        <v>0</v>
      </c>
    </row>
    <row r="43" spans="1:11" ht="26.25" thickBot="1">
      <c r="A43" s="22"/>
      <c r="B43" s="39" t="s">
        <v>79</v>
      </c>
      <c r="C43" s="45">
        <f>+C41+C42</f>
        <v>14115818.079999998</v>
      </c>
      <c r="D43" s="23">
        <f>+D41+D42</f>
        <v>12739081.049</v>
      </c>
      <c r="E43" s="24">
        <f t="shared" si="4"/>
        <v>26854899.129</v>
      </c>
      <c r="F43" s="45">
        <f>+F41+F42</f>
        <v>9354862.972000001</v>
      </c>
      <c r="G43" s="23">
        <f t="shared" si="0"/>
        <v>34.834846807888006</v>
      </c>
      <c r="H43" s="23">
        <f>+H41+H42</f>
        <v>14009566.217</v>
      </c>
      <c r="I43" s="23">
        <f t="shared" si="1"/>
        <v>52.16763671203436</v>
      </c>
      <c r="J43" s="23">
        <f>+J41+J42</f>
        <v>23364429.189</v>
      </c>
      <c r="K43" s="24">
        <f t="shared" si="3"/>
        <v>87.00248351992236</v>
      </c>
    </row>
    <row r="45" ht="12.75">
      <c r="J45" s="3"/>
    </row>
    <row r="46" ht="12.75">
      <c r="J46" s="3"/>
    </row>
  </sheetData>
  <mergeCells count="5">
    <mergeCell ref="C5:E5"/>
    <mergeCell ref="F5:K5"/>
    <mergeCell ref="C1:I1"/>
    <mergeCell ref="C2:I2"/>
    <mergeCell ref="C3:I3"/>
  </mergeCells>
  <printOptions horizontalCentered="1" verticalCentered="1"/>
  <pageMargins left="0" right="0" top="0" bottom="0.1968503937007874" header="0" footer="0"/>
  <pageSetup horizontalDpi="600" verticalDpi="600" orientation="landscape" scale="80" r:id="rId1"/>
  <headerFooter alignWithMargins="0">
    <oddFooter>&amp;LFuente: Ejecución presupuestal&amp;R&amp;Z&amp;F/rchg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37.57421875" style="0" customWidth="1"/>
    <col min="3" max="3" width="14.140625" style="0" customWidth="1"/>
    <col min="4" max="4" width="12.421875" style="0" customWidth="1"/>
    <col min="5" max="5" width="12.28125" style="0" customWidth="1"/>
    <col min="6" max="6" width="13.7109375" style="0" customWidth="1"/>
    <col min="7" max="7" width="6.7109375" style="0" customWidth="1"/>
    <col min="8" max="8" width="12.140625" style="0" customWidth="1"/>
    <col min="9" max="9" width="7.8515625" style="0" customWidth="1"/>
    <col min="10" max="10" width="12.7109375" style="0" customWidth="1"/>
    <col min="11" max="11" width="7.7109375" style="0" customWidth="1"/>
  </cols>
  <sheetData>
    <row r="1" spans="1:11" ht="12.75">
      <c r="A1" s="56" t="s">
        <v>93</v>
      </c>
      <c r="B1" s="13"/>
      <c r="C1" s="54" t="s">
        <v>86</v>
      </c>
      <c r="D1" s="54"/>
      <c r="E1" s="54"/>
      <c r="F1" s="54"/>
      <c r="G1" s="54"/>
      <c r="H1" s="54"/>
      <c r="I1" s="54"/>
      <c r="J1" s="13"/>
      <c r="K1" s="13"/>
    </row>
    <row r="2" spans="1:11" ht="12.75">
      <c r="A2" s="56" t="s">
        <v>94</v>
      </c>
      <c r="B2" s="13"/>
      <c r="C2" s="54" t="s">
        <v>1</v>
      </c>
      <c r="D2" s="54"/>
      <c r="E2" s="54"/>
      <c r="F2" s="54"/>
      <c r="G2" s="54"/>
      <c r="H2" s="54"/>
      <c r="I2" s="54"/>
      <c r="J2" s="13"/>
      <c r="K2" s="13"/>
    </row>
    <row r="3" spans="1:11" ht="12.75">
      <c r="A3" s="56" t="s">
        <v>95</v>
      </c>
      <c r="B3" s="13"/>
      <c r="C3" s="55" t="s">
        <v>2</v>
      </c>
      <c r="D3" s="55"/>
      <c r="E3" s="55"/>
      <c r="F3" s="55"/>
      <c r="G3" s="55"/>
      <c r="H3" s="55"/>
      <c r="I3" s="55"/>
      <c r="J3" s="13"/>
      <c r="K3" s="13"/>
    </row>
    <row r="4" spans="1:11" ht="13.5" thickBot="1">
      <c r="A4" s="56" t="s">
        <v>96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7"/>
      <c r="B5" s="34"/>
      <c r="C5" s="40" t="s">
        <v>90</v>
      </c>
      <c r="D5" s="25"/>
      <c r="E5" s="30"/>
      <c r="F5" s="40" t="s">
        <v>10</v>
      </c>
      <c r="G5" s="25"/>
      <c r="H5" s="25"/>
      <c r="I5" s="25"/>
      <c r="J5" s="25"/>
      <c r="K5" s="30"/>
    </row>
    <row r="6" spans="1:11" ht="13.5" thickBot="1">
      <c r="A6" s="46" t="s">
        <v>3</v>
      </c>
      <c r="B6" s="47" t="s">
        <v>4</v>
      </c>
      <c r="C6" s="46" t="s">
        <v>5</v>
      </c>
      <c r="D6" s="11" t="s">
        <v>6</v>
      </c>
      <c r="E6" s="48" t="s">
        <v>7</v>
      </c>
      <c r="F6" s="46" t="s">
        <v>8</v>
      </c>
      <c r="G6" s="11" t="s">
        <v>91</v>
      </c>
      <c r="H6" s="11" t="s">
        <v>9</v>
      </c>
      <c r="I6" s="11" t="s">
        <v>91</v>
      </c>
      <c r="J6" s="11" t="s">
        <v>92</v>
      </c>
      <c r="K6" s="48" t="s">
        <v>11</v>
      </c>
    </row>
    <row r="7" spans="1:11" ht="12.75">
      <c r="A7" s="49" t="s">
        <v>12</v>
      </c>
      <c r="B7" s="52" t="s">
        <v>13</v>
      </c>
      <c r="C7" s="53">
        <f>SUM(C8:C13)</f>
        <v>4150253.691</v>
      </c>
      <c r="D7" s="50">
        <f>SUM(D8:D13)</f>
        <v>-760.971</v>
      </c>
      <c r="E7" s="51">
        <f>+C7+D7</f>
        <v>4149492.72</v>
      </c>
      <c r="F7" s="53">
        <f>SUM(F8:F13)</f>
        <v>2423462.829</v>
      </c>
      <c r="G7" s="50">
        <f aca="true" t="shared" si="0" ref="G7:G43">+F7/E7*100</f>
        <v>58.403833734163044</v>
      </c>
      <c r="H7" s="50">
        <f>SUM(H8:H13)</f>
        <v>1241999.1400000001</v>
      </c>
      <c r="I7" s="50">
        <f aca="true" t="shared" si="1" ref="I7:I43">+H7/E7*100</f>
        <v>29.931348813162877</v>
      </c>
      <c r="J7" s="50">
        <f aca="true" t="shared" si="2" ref="J7:J23">+F7+H7</f>
        <v>3665461.969</v>
      </c>
      <c r="K7" s="51">
        <f aca="true" t="shared" si="3" ref="K7:K43">+J7/E7*100</f>
        <v>88.33518254732593</v>
      </c>
    </row>
    <row r="8" spans="1:11" ht="25.5">
      <c r="A8" s="18" t="s">
        <v>14</v>
      </c>
      <c r="B8" s="37" t="s">
        <v>81</v>
      </c>
      <c r="C8" s="42">
        <v>3260253.691</v>
      </c>
      <c r="D8" s="9">
        <v>-760.971</v>
      </c>
      <c r="E8" s="43">
        <f>+C8+D8</f>
        <v>3259492.72</v>
      </c>
      <c r="F8" s="42">
        <v>2414893.051</v>
      </c>
      <c r="G8" s="10">
        <f t="shared" si="0"/>
        <v>74.08800259569225</v>
      </c>
      <c r="H8" s="9">
        <f>3049701.293-F8</f>
        <v>634808.2420000001</v>
      </c>
      <c r="I8" s="10">
        <f t="shared" si="1"/>
        <v>19.475676018690418</v>
      </c>
      <c r="J8" s="9">
        <f t="shared" si="2"/>
        <v>3049701.293</v>
      </c>
      <c r="K8" s="20">
        <f t="shared" si="3"/>
        <v>93.56367861438267</v>
      </c>
    </row>
    <row r="9" spans="1:11" ht="25.5" hidden="1">
      <c r="A9" s="18" t="s">
        <v>16</v>
      </c>
      <c r="B9" s="37" t="s">
        <v>17</v>
      </c>
      <c r="C9" s="42">
        <v>0</v>
      </c>
      <c r="D9" s="9">
        <v>0</v>
      </c>
      <c r="E9" s="43">
        <f aca="true" t="shared" si="4" ref="E9:E43">+C9+D9</f>
        <v>0</v>
      </c>
      <c r="F9" s="42">
        <v>0</v>
      </c>
      <c r="G9" s="10" t="e">
        <f t="shared" si="0"/>
        <v>#DIV/0!</v>
      </c>
      <c r="H9" s="9">
        <v>0</v>
      </c>
      <c r="I9" s="10" t="e">
        <f t="shared" si="1"/>
        <v>#DIV/0!</v>
      </c>
      <c r="J9" s="9">
        <f t="shared" si="2"/>
        <v>0</v>
      </c>
      <c r="K9" s="20" t="e">
        <f t="shared" si="3"/>
        <v>#DIV/0!</v>
      </c>
    </row>
    <row r="10" spans="1:11" ht="38.25">
      <c r="A10" s="18" t="s">
        <v>18</v>
      </c>
      <c r="B10" s="37" t="s">
        <v>19</v>
      </c>
      <c r="C10" s="42">
        <v>797000</v>
      </c>
      <c r="D10" s="9">
        <v>0</v>
      </c>
      <c r="E10" s="43">
        <f t="shared" si="4"/>
        <v>797000</v>
      </c>
      <c r="F10" s="42">
        <v>8569.778</v>
      </c>
      <c r="G10" s="10">
        <f t="shared" si="0"/>
        <v>1.0752544542032623</v>
      </c>
      <c r="H10" s="9">
        <f>522760.676-F10</f>
        <v>514190.898</v>
      </c>
      <c r="I10" s="10">
        <f t="shared" si="1"/>
        <v>64.5157964868256</v>
      </c>
      <c r="J10" s="9">
        <f t="shared" si="2"/>
        <v>522760.676</v>
      </c>
      <c r="K10" s="20">
        <f t="shared" si="3"/>
        <v>65.59105094102885</v>
      </c>
    </row>
    <row r="11" spans="1:11" ht="25.5" hidden="1">
      <c r="A11" s="18" t="s">
        <v>20</v>
      </c>
      <c r="B11" s="37" t="s">
        <v>21</v>
      </c>
      <c r="C11" s="42">
        <v>0</v>
      </c>
      <c r="D11" s="9">
        <v>0</v>
      </c>
      <c r="E11" s="43">
        <f t="shared" si="4"/>
        <v>0</v>
      </c>
      <c r="F11" s="42">
        <v>0</v>
      </c>
      <c r="G11" s="10" t="e">
        <f t="shared" si="0"/>
        <v>#DIV/0!</v>
      </c>
      <c r="H11" s="9">
        <v>0</v>
      </c>
      <c r="I11" s="10" t="e">
        <f t="shared" si="1"/>
        <v>#DIV/0!</v>
      </c>
      <c r="J11" s="9">
        <f t="shared" si="2"/>
        <v>0</v>
      </c>
      <c r="K11" s="20" t="e">
        <f t="shared" si="3"/>
        <v>#DIV/0!</v>
      </c>
    </row>
    <row r="12" spans="1:11" ht="25.5">
      <c r="A12" s="18" t="s">
        <v>22</v>
      </c>
      <c r="B12" s="37" t="s">
        <v>23</v>
      </c>
      <c r="C12" s="42">
        <v>93000</v>
      </c>
      <c r="D12" s="9">
        <v>0</v>
      </c>
      <c r="E12" s="43">
        <f t="shared" si="4"/>
        <v>93000</v>
      </c>
      <c r="F12" s="42">
        <v>0</v>
      </c>
      <c r="G12" s="10">
        <f t="shared" si="0"/>
        <v>0</v>
      </c>
      <c r="H12" s="9">
        <v>93000</v>
      </c>
      <c r="I12" s="10">
        <f t="shared" si="1"/>
        <v>100</v>
      </c>
      <c r="J12" s="9">
        <f t="shared" si="2"/>
        <v>93000</v>
      </c>
      <c r="K12" s="20">
        <f t="shared" si="3"/>
        <v>100</v>
      </c>
    </row>
    <row r="13" spans="1:11" ht="12.75" hidden="1">
      <c r="A13" s="18" t="s">
        <v>24</v>
      </c>
      <c r="B13" s="37" t="s">
        <v>25</v>
      </c>
      <c r="C13" s="42">
        <v>0</v>
      </c>
      <c r="D13" s="9"/>
      <c r="E13" s="43">
        <f t="shared" si="4"/>
        <v>0</v>
      </c>
      <c r="F13" s="42"/>
      <c r="G13" s="10" t="e">
        <f t="shared" si="0"/>
        <v>#DIV/0!</v>
      </c>
      <c r="H13" s="9">
        <v>0</v>
      </c>
      <c r="I13" s="10" t="e">
        <f t="shared" si="1"/>
        <v>#DIV/0!</v>
      </c>
      <c r="J13" s="9">
        <f t="shared" si="2"/>
        <v>0</v>
      </c>
      <c r="K13" s="20" t="e">
        <f t="shared" si="3"/>
        <v>#DIV/0!</v>
      </c>
    </row>
    <row r="14" spans="1:11" ht="12.75">
      <c r="A14" s="18" t="s">
        <v>26</v>
      </c>
      <c r="B14" s="38" t="s">
        <v>27</v>
      </c>
      <c r="C14" s="44">
        <f>SUM(C15:C17)</f>
        <v>550000</v>
      </c>
      <c r="D14" s="8">
        <f>SUM(D15:D17)</f>
        <v>125222.537</v>
      </c>
      <c r="E14" s="19">
        <f t="shared" si="4"/>
        <v>675222.537</v>
      </c>
      <c r="F14" s="44">
        <f>SUM(F15:F17)</f>
        <v>210000</v>
      </c>
      <c r="G14" s="8">
        <f t="shared" si="0"/>
        <v>31.10085764213762</v>
      </c>
      <c r="H14" s="8">
        <f>SUM(H15:H17)</f>
        <v>435823.535</v>
      </c>
      <c r="I14" s="8">
        <f t="shared" si="1"/>
        <v>64.54517009108656</v>
      </c>
      <c r="J14" s="8">
        <f t="shared" si="2"/>
        <v>645823.5349999999</v>
      </c>
      <c r="K14" s="19">
        <f t="shared" si="3"/>
        <v>95.64602773322419</v>
      </c>
    </row>
    <row r="15" spans="1:11" ht="12.75">
      <c r="A15" s="18" t="s">
        <v>28</v>
      </c>
      <c r="B15" s="37" t="s">
        <v>29</v>
      </c>
      <c r="C15" s="42">
        <v>300000</v>
      </c>
      <c r="D15" s="9">
        <v>0</v>
      </c>
      <c r="E15" s="43">
        <f t="shared" si="4"/>
        <v>300000</v>
      </c>
      <c r="F15" s="42">
        <v>137000</v>
      </c>
      <c r="G15" s="10">
        <f t="shared" si="0"/>
        <v>45.666666666666664</v>
      </c>
      <c r="H15" s="9">
        <f>274000-F15</f>
        <v>137000</v>
      </c>
      <c r="I15" s="10">
        <f t="shared" si="1"/>
        <v>45.666666666666664</v>
      </c>
      <c r="J15" s="9">
        <f t="shared" si="2"/>
        <v>274000</v>
      </c>
      <c r="K15" s="20">
        <f t="shared" si="3"/>
        <v>91.33333333333333</v>
      </c>
    </row>
    <row r="16" spans="1:11" ht="25.5">
      <c r="A16" s="18" t="s">
        <v>30</v>
      </c>
      <c r="B16" s="37" t="s">
        <v>31</v>
      </c>
      <c r="C16" s="42">
        <v>100000</v>
      </c>
      <c r="D16" s="9">
        <v>0</v>
      </c>
      <c r="E16" s="43">
        <f t="shared" si="4"/>
        <v>100000</v>
      </c>
      <c r="F16" s="42">
        <v>0</v>
      </c>
      <c r="G16" s="10">
        <f t="shared" si="0"/>
        <v>0</v>
      </c>
      <c r="H16" s="9">
        <v>100000</v>
      </c>
      <c r="I16" s="10">
        <f t="shared" si="1"/>
        <v>100</v>
      </c>
      <c r="J16" s="9">
        <f t="shared" si="2"/>
        <v>100000</v>
      </c>
      <c r="K16" s="20">
        <f t="shared" si="3"/>
        <v>100</v>
      </c>
    </row>
    <row r="17" spans="1:11" ht="21.75" customHeight="1">
      <c r="A17" s="18" t="s">
        <v>32</v>
      </c>
      <c r="B17" s="37" t="s">
        <v>33</v>
      </c>
      <c r="C17" s="42">
        <v>150000</v>
      </c>
      <c r="D17" s="9">
        <v>125222.537</v>
      </c>
      <c r="E17" s="43">
        <f t="shared" si="4"/>
        <v>275222.537</v>
      </c>
      <c r="F17" s="42">
        <v>73000</v>
      </c>
      <c r="G17" s="10">
        <f t="shared" si="0"/>
        <v>26.523990657058725</v>
      </c>
      <c r="H17" s="9">
        <f>271823.535-F17</f>
        <v>198823.53499999997</v>
      </c>
      <c r="I17" s="10">
        <f t="shared" si="1"/>
        <v>72.24100801018339</v>
      </c>
      <c r="J17" s="9">
        <f t="shared" si="2"/>
        <v>271823.535</v>
      </c>
      <c r="K17" s="20">
        <f t="shared" si="3"/>
        <v>98.76499866724212</v>
      </c>
    </row>
    <row r="18" spans="1:11" ht="12.75">
      <c r="A18" s="18" t="s">
        <v>34</v>
      </c>
      <c r="B18" s="38" t="s">
        <v>35</v>
      </c>
      <c r="C18" s="44">
        <f>SUM(C19:C21)</f>
        <v>150000</v>
      </c>
      <c r="D18" s="8">
        <f>SUM(D19:D21)</f>
        <v>95000</v>
      </c>
      <c r="E18" s="19">
        <f t="shared" si="4"/>
        <v>245000</v>
      </c>
      <c r="F18" s="44">
        <f>SUM(F19:F21)</f>
        <v>10600</v>
      </c>
      <c r="G18" s="8">
        <f t="shared" si="0"/>
        <v>4.326530612244897</v>
      </c>
      <c r="H18" s="8">
        <f>SUM(H19:H21)</f>
        <v>228900</v>
      </c>
      <c r="I18" s="8">
        <f t="shared" si="1"/>
        <v>93.42857142857143</v>
      </c>
      <c r="J18" s="8">
        <f t="shared" si="2"/>
        <v>239500</v>
      </c>
      <c r="K18" s="19">
        <f t="shared" si="3"/>
        <v>97.75510204081633</v>
      </c>
    </row>
    <row r="19" spans="1:11" ht="25.5" hidden="1">
      <c r="A19" s="18" t="s">
        <v>36</v>
      </c>
      <c r="B19" s="37" t="s">
        <v>37</v>
      </c>
      <c r="C19" s="42">
        <v>0</v>
      </c>
      <c r="D19" s="9">
        <v>0</v>
      </c>
      <c r="E19" s="43">
        <f t="shared" si="4"/>
        <v>0</v>
      </c>
      <c r="F19" s="42">
        <v>0</v>
      </c>
      <c r="G19" s="10" t="e">
        <f t="shared" si="0"/>
        <v>#DIV/0!</v>
      </c>
      <c r="H19" s="9">
        <v>0</v>
      </c>
      <c r="I19" s="10" t="e">
        <f t="shared" si="1"/>
        <v>#DIV/0!</v>
      </c>
      <c r="J19" s="9">
        <f t="shared" si="2"/>
        <v>0</v>
      </c>
      <c r="K19" s="20" t="e">
        <f t="shared" si="3"/>
        <v>#DIV/0!</v>
      </c>
    </row>
    <row r="20" spans="1:11" ht="38.25" hidden="1">
      <c r="A20" s="18" t="s">
        <v>38</v>
      </c>
      <c r="B20" s="37" t="s">
        <v>39</v>
      </c>
      <c r="C20" s="42">
        <v>0</v>
      </c>
      <c r="D20" s="9">
        <v>0</v>
      </c>
      <c r="E20" s="43">
        <f t="shared" si="4"/>
        <v>0</v>
      </c>
      <c r="F20" s="42">
        <v>0</v>
      </c>
      <c r="G20" s="10" t="e">
        <f t="shared" si="0"/>
        <v>#DIV/0!</v>
      </c>
      <c r="H20" s="9">
        <v>0</v>
      </c>
      <c r="I20" s="10" t="e">
        <f t="shared" si="1"/>
        <v>#DIV/0!</v>
      </c>
      <c r="J20" s="9">
        <f t="shared" si="2"/>
        <v>0</v>
      </c>
      <c r="K20" s="20" t="e">
        <f t="shared" si="3"/>
        <v>#DIV/0!</v>
      </c>
    </row>
    <row r="21" spans="1:11" ht="12.75">
      <c r="A21" s="18" t="s">
        <v>84</v>
      </c>
      <c r="B21" s="37" t="s">
        <v>41</v>
      </c>
      <c r="C21" s="42">
        <v>150000</v>
      </c>
      <c r="D21" s="9">
        <v>95000</v>
      </c>
      <c r="E21" s="43">
        <f t="shared" si="4"/>
        <v>245000</v>
      </c>
      <c r="F21" s="42">
        <v>10600</v>
      </c>
      <c r="G21" s="10">
        <f t="shared" si="0"/>
        <v>4.326530612244897</v>
      </c>
      <c r="H21" s="9">
        <f>239500-F21</f>
        <v>228900</v>
      </c>
      <c r="I21" s="10">
        <f t="shared" si="1"/>
        <v>93.42857142857143</v>
      </c>
      <c r="J21" s="9">
        <f t="shared" si="2"/>
        <v>239500</v>
      </c>
      <c r="K21" s="20">
        <f t="shared" si="3"/>
        <v>97.75510204081633</v>
      </c>
    </row>
    <row r="22" spans="1:11" ht="12.75" hidden="1">
      <c r="A22" s="18" t="s">
        <v>42</v>
      </c>
      <c r="B22" s="38" t="s">
        <v>43</v>
      </c>
      <c r="C22" s="44">
        <f>SUM(C23)</f>
        <v>0</v>
      </c>
      <c r="D22" s="8">
        <f>SUM(D23)</f>
        <v>0</v>
      </c>
      <c r="E22" s="19">
        <f t="shared" si="4"/>
        <v>0</v>
      </c>
      <c r="F22" s="44">
        <f>SUM(F23)</f>
        <v>0</v>
      </c>
      <c r="G22" s="8" t="e">
        <f t="shared" si="0"/>
        <v>#DIV/0!</v>
      </c>
      <c r="H22" s="8">
        <f>SUM(H23)</f>
        <v>0</v>
      </c>
      <c r="I22" s="8" t="e">
        <f t="shared" si="1"/>
        <v>#DIV/0!</v>
      </c>
      <c r="J22" s="8">
        <f t="shared" si="2"/>
        <v>0</v>
      </c>
      <c r="K22" s="19" t="e">
        <f t="shared" si="3"/>
        <v>#DIV/0!</v>
      </c>
    </row>
    <row r="23" spans="1:11" ht="12.75" hidden="1">
      <c r="A23" s="18" t="s">
        <v>44</v>
      </c>
      <c r="B23" s="37" t="s">
        <v>45</v>
      </c>
      <c r="C23" s="42">
        <v>0</v>
      </c>
      <c r="D23" s="9">
        <v>0</v>
      </c>
      <c r="E23" s="43">
        <f t="shared" si="4"/>
        <v>0</v>
      </c>
      <c r="F23" s="42">
        <v>0</v>
      </c>
      <c r="G23" s="10" t="e">
        <f t="shared" si="0"/>
        <v>#DIV/0!</v>
      </c>
      <c r="H23" s="9">
        <v>0</v>
      </c>
      <c r="I23" s="10" t="e">
        <f t="shared" si="1"/>
        <v>#DIV/0!</v>
      </c>
      <c r="J23" s="9">
        <f t="shared" si="2"/>
        <v>0</v>
      </c>
      <c r="K23" s="20" t="e">
        <f t="shared" si="3"/>
        <v>#DIV/0!</v>
      </c>
    </row>
    <row r="24" spans="1:11" ht="12.75" hidden="1">
      <c r="A24" s="18" t="s">
        <v>46</v>
      </c>
      <c r="B24" s="38" t="s">
        <v>47</v>
      </c>
      <c r="C24" s="44">
        <f>SUM(C25:C26)</f>
        <v>0</v>
      </c>
      <c r="D24" s="8">
        <f>SUM(D25:D26)</f>
        <v>0</v>
      </c>
      <c r="E24" s="19">
        <f t="shared" si="4"/>
        <v>0</v>
      </c>
      <c r="F24" s="44">
        <f>SUM(F25:F26)</f>
        <v>0</v>
      </c>
      <c r="G24" s="8" t="e">
        <f t="shared" si="0"/>
        <v>#DIV/0!</v>
      </c>
      <c r="H24" s="8">
        <f>SUM(H25:H26)</f>
        <v>0</v>
      </c>
      <c r="I24" s="8" t="e">
        <f t="shared" si="1"/>
        <v>#DIV/0!</v>
      </c>
      <c r="J24" s="8">
        <f>SUM(J25:J26)</f>
        <v>0</v>
      </c>
      <c r="K24" s="19" t="e">
        <f t="shared" si="3"/>
        <v>#DIV/0!</v>
      </c>
    </row>
    <row r="25" spans="1:11" ht="12.75" hidden="1">
      <c r="A25" s="18" t="s">
        <v>12</v>
      </c>
      <c r="B25" s="37" t="s">
        <v>49</v>
      </c>
      <c r="C25" s="42">
        <v>0</v>
      </c>
      <c r="D25" s="9"/>
      <c r="E25" s="43">
        <f t="shared" si="4"/>
        <v>0</v>
      </c>
      <c r="F25" s="42">
        <v>0</v>
      </c>
      <c r="G25" s="10" t="e">
        <f t="shared" si="0"/>
        <v>#DIV/0!</v>
      </c>
      <c r="H25" s="9">
        <v>0</v>
      </c>
      <c r="I25" s="10" t="e">
        <f t="shared" si="1"/>
        <v>#DIV/0!</v>
      </c>
      <c r="J25" s="9">
        <f aca="true" t="shared" si="5" ref="J25:J40">+F25+H25</f>
        <v>0</v>
      </c>
      <c r="K25" s="20" t="e">
        <f t="shared" si="3"/>
        <v>#DIV/0!</v>
      </c>
    </row>
    <row r="26" spans="1:11" ht="12.75" hidden="1">
      <c r="A26" s="18" t="s">
        <v>12</v>
      </c>
      <c r="B26" s="37" t="s">
        <v>50</v>
      </c>
      <c r="C26" s="42">
        <v>0</v>
      </c>
      <c r="D26" s="9"/>
      <c r="E26" s="43">
        <f t="shared" si="4"/>
        <v>0</v>
      </c>
      <c r="F26" s="42">
        <v>0</v>
      </c>
      <c r="G26" s="10" t="e">
        <f t="shared" si="0"/>
        <v>#DIV/0!</v>
      </c>
      <c r="H26" s="9"/>
      <c r="I26" s="10" t="e">
        <f t="shared" si="1"/>
        <v>#DIV/0!</v>
      </c>
      <c r="J26" s="9">
        <f t="shared" si="5"/>
        <v>0</v>
      </c>
      <c r="K26" s="20" t="e">
        <f t="shared" si="3"/>
        <v>#DIV/0!</v>
      </c>
    </row>
    <row r="27" spans="1:11" ht="12.75">
      <c r="A27" s="18" t="s">
        <v>51</v>
      </c>
      <c r="B27" s="38" t="s">
        <v>52</v>
      </c>
      <c r="C27" s="44">
        <f>SUM(C28:C32)</f>
        <v>350000</v>
      </c>
      <c r="D27" s="8">
        <f>SUM(D28:D32)</f>
        <v>0</v>
      </c>
      <c r="E27" s="19">
        <f t="shared" si="4"/>
        <v>350000</v>
      </c>
      <c r="F27" s="44">
        <f>SUM(F28:F32)</f>
        <v>19899.454</v>
      </c>
      <c r="G27" s="8">
        <f t="shared" si="0"/>
        <v>5.6855582857142855</v>
      </c>
      <c r="H27" s="8">
        <f>SUM(H28:H32)</f>
        <v>304993.54299999995</v>
      </c>
      <c r="I27" s="8">
        <f t="shared" si="1"/>
        <v>87.14101228571427</v>
      </c>
      <c r="J27" s="8">
        <f t="shared" si="5"/>
        <v>324892.997</v>
      </c>
      <c r="K27" s="19">
        <f t="shared" si="3"/>
        <v>92.82657057142856</v>
      </c>
    </row>
    <row r="28" spans="1:11" ht="25.5" hidden="1">
      <c r="A28" s="18" t="s">
        <v>51</v>
      </c>
      <c r="B28" s="37" t="s">
        <v>53</v>
      </c>
      <c r="C28" s="42">
        <v>0</v>
      </c>
      <c r="D28" s="9">
        <v>0</v>
      </c>
      <c r="E28" s="43">
        <f t="shared" si="4"/>
        <v>0</v>
      </c>
      <c r="F28" s="42"/>
      <c r="G28" s="10" t="e">
        <f t="shared" si="0"/>
        <v>#DIV/0!</v>
      </c>
      <c r="H28" s="9">
        <v>0</v>
      </c>
      <c r="I28" s="10" t="e">
        <f t="shared" si="1"/>
        <v>#DIV/0!</v>
      </c>
      <c r="J28" s="9">
        <f t="shared" si="5"/>
        <v>0</v>
      </c>
      <c r="K28" s="20" t="e">
        <f t="shared" si="3"/>
        <v>#DIV/0!</v>
      </c>
    </row>
    <row r="29" spans="1:11" ht="38.25" hidden="1">
      <c r="A29" s="18" t="s">
        <v>54</v>
      </c>
      <c r="B29" s="37" t="s">
        <v>55</v>
      </c>
      <c r="C29" s="42">
        <v>0</v>
      </c>
      <c r="D29" s="9">
        <v>0</v>
      </c>
      <c r="E29" s="43">
        <f t="shared" si="4"/>
        <v>0</v>
      </c>
      <c r="F29" s="42">
        <v>0</v>
      </c>
      <c r="G29" s="10" t="e">
        <f t="shared" si="0"/>
        <v>#DIV/0!</v>
      </c>
      <c r="H29" s="9">
        <v>0</v>
      </c>
      <c r="I29" s="10" t="e">
        <f t="shared" si="1"/>
        <v>#DIV/0!</v>
      </c>
      <c r="J29" s="9">
        <f t="shared" si="5"/>
        <v>0</v>
      </c>
      <c r="K29" s="20" t="e">
        <f t="shared" si="3"/>
        <v>#DIV/0!</v>
      </c>
    </row>
    <row r="30" spans="1:11" ht="25.5">
      <c r="A30" s="18" t="s">
        <v>56</v>
      </c>
      <c r="B30" s="37" t="s">
        <v>57</v>
      </c>
      <c r="C30" s="42">
        <v>100000</v>
      </c>
      <c r="D30" s="9">
        <v>0</v>
      </c>
      <c r="E30" s="43">
        <f t="shared" si="4"/>
        <v>100000</v>
      </c>
      <c r="F30" s="42">
        <v>0</v>
      </c>
      <c r="G30" s="10">
        <f t="shared" si="0"/>
        <v>0</v>
      </c>
      <c r="H30" s="9">
        <v>86999.397</v>
      </c>
      <c r="I30" s="10">
        <f t="shared" si="1"/>
        <v>86.999397</v>
      </c>
      <c r="J30" s="9">
        <f t="shared" si="5"/>
        <v>86999.397</v>
      </c>
      <c r="K30" s="20">
        <f t="shared" si="3"/>
        <v>86.999397</v>
      </c>
    </row>
    <row r="31" spans="1:11" ht="25.5">
      <c r="A31" s="18" t="s">
        <v>58</v>
      </c>
      <c r="B31" s="37" t="s">
        <v>59</v>
      </c>
      <c r="C31" s="42">
        <v>200000</v>
      </c>
      <c r="D31" s="9">
        <v>0</v>
      </c>
      <c r="E31" s="43">
        <f t="shared" si="4"/>
        <v>200000</v>
      </c>
      <c r="F31" s="42">
        <v>0</v>
      </c>
      <c r="G31" s="10">
        <f t="shared" si="0"/>
        <v>0</v>
      </c>
      <c r="H31" s="9">
        <v>187993.6</v>
      </c>
      <c r="I31" s="10">
        <f t="shared" si="1"/>
        <v>93.99680000000001</v>
      </c>
      <c r="J31" s="9">
        <f t="shared" si="5"/>
        <v>187993.6</v>
      </c>
      <c r="K31" s="20">
        <f t="shared" si="3"/>
        <v>93.99680000000001</v>
      </c>
    </row>
    <row r="32" spans="1:11" ht="25.5">
      <c r="A32" s="18" t="s">
        <v>60</v>
      </c>
      <c r="B32" s="37" t="s">
        <v>61</v>
      </c>
      <c r="C32" s="42">
        <v>50000</v>
      </c>
      <c r="D32" s="9">
        <v>0</v>
      </c>
      <c r="E32" s="43">
        <f t="shared" si="4"/>
        <v>50000</v>
      </c>
      <c r="F32" s="42">
        <v>19899.454</v>
      </c>
      <c r="G32" s="10">
        <f t="shared" si="0"/>
        <v>39.798908000000004</v>
      </c>
      <c r="H32" s="9">
        <f>49900-F32</f>
        <v>30000.546</v>
      </c>
      <c r="I32" s="10">
        <f t="shared" si="1"/>
        <v>60.001092</v>
      </c>
      <c r="J32" s="9">
        <f t="shared" si="5"/>
        <v>49900</v>
      </c>
      <c r="K32" s="20">
        <f t="shared" si="3"/>
        <v>99.8</v>
      </c>
    </row>
    <row r="33" spans="1:11" ht="12.75">
      <c r="A33" s="18" t="s">
        <v>62</v>
      </c>
      <c r="B33" s="38" t="s">
        <v>63</v>
      </c>
      <c r="C33" s="44">
        <f>SUM(C34:C36)</f>
        <v>1949242.949</v>
      </c>
      <c r="D33" s="8">
        <f>SUM(D34:D36)</f>
        <v>417000</v>
      </c>
      <c r="E33" s="19">
        <f t="shared" si="4"/>
        <v>2366242.949</v>
      </c>
      <c r="F33" s="44">
        <f>SUM(F34:F36)</f>
        <v>1451258.063</v>
      </c>
      <c r="G33" s="8">
        <f t="shared" si="0"/>
        <v>61.33174379297432</v>
      </c>
      <c r="H33" s="8">
        <f>SUM(H34:H36)</f>
        <v>624731.4410000001</v>
      </c>
      <c r="I33" s="8">
        <f t="shared" si="1"/>
        <v>26.40183000921433</v>
      </c>
      <c r="J33" s="8">
        <f t="shared" si="5"/>
        <v>2075989.5040000002</v>
      </c>
      <c r="K33" s="19">
        <f t="shared" si="3"/>
        <v>87.73357380218864</v>
      </c>
    </row>
    <row r="34" spans="1:11" ht="12.75">
      <c r="A34" s="18" t="s">
        <v>64</v>
      </c>
      <c r="B34" s="37" t="s">
        <v>65</v>
      </c>
      <c r="C34" s="42">
        <v>1300000</v>
      </c>
      <c r="D34" s="9">
        <v>114344.437</v>
      </c>
      <c r="E34" s="43">
        <f t="shared" si="4"/>
        <v>1414344.437</v>
      </c>
      <c r="F34" s="42">
        <v>891794.367</v>
      </c>
      <c r="G34" s="10">
        <f t="shared" si="0"/>
        <v>63.05354931020951</v>
      </c>
      <c r="H34" s="9">
        <f>1285920.077-F34</f>
        <v>394125.7100000001</v>
      </c>
      <c r="I34" s="10">
        <f t="shared" si="1"/>
        <v>27.866317403983267</v>
      </c>
      <c r="J34" s="9">
        <f t="shared" si="5"/>
        <v>1285920.077</v>
      </c>
      <c r="K34" s="20">
        <f t="shared" si="3"/>
        <v>90.91986671419276</v>
      </c>
    </row>
    <row r="35" spans="1:11" ht="25.5">
      <c r="A35" s="18" t="s">
        <v>66</v>
      </c>
      <c r="B35" s="37" t="s">
        <v>67</v>
      </c>
      <c r="C35" s="42">
        <v>549242.949</v>
      </c>
      <c r="D35" s="9">
        <v>230655.563</v>
      </c>
      <c r="E35" s="43">
        <f t="shared" si="4"/>
        <v>779898.512</v>
      </c>
      <c r="F35" s="42">
        <v>459945.696</v>
      </c>
      <c r="G35" s="10">
        <f t="shared" si="0"/>
        <v>58.97507033581826</v>
      </c>
      <c r="H35" s="9">
        <f>690501.427-F35</f>
        <v>230555.73100000003</v>
      </c>
      <c r="I35" s="10">
        <f t="shared" si="1"/>
        <v>29.562273482065578</v>
      </c>
      <c r="J35" s="9">
        <f t="shared" si="5"/>
        <v>690501.427</v>
      </c>
      <c r="K35" s="20">
        <f t="shared" si="3"/>
        <v>88.53734381788384</v>
      </c>
    </row>
    <row r="36" spans="1:11" ht="12.75">
      <c r="A36" s="18" t="s">
        <v>82</v>
      </c>
      <c r="B36" s="37" t="s">
        <v>69</v>
      </c>
      <c r="C36" s="42">
        <v>100000</v>
      </c>
      <c r="D36" s="9">
        <v>72000</v>
      </c>
      <c r="E36" s="43">
        <f t="shared" si="4"/>
        <v>172000</v>
      </c>
      <c r="F36" s="42">
        <v>99518</v>
      </c>
      <c r="G36" s="10">
        <f t="shared" si="0"/>
        <v>57.859302325581396</v>
      </c>
      <c r="H36" s="9">
        <f>99568-F36</f>
        <v>50</v>
      </c>
      <c r="I36" s="10">
        <f t="shared" si="1"/>
        <v>0.029069767441860465</v>
      </c>
      <c r="J36" s="9">
        <f t="shared" si="5"/>
        <v>99568</v>
      </c>
      <c r="K36" s="20">
        <f t="shared" si="3"/>
        <v>57.88837209302326</v>
      </c>
    </row>
    <row r="37" spans="1:11" ht="12.75">
      <c r="A37" s="18">
        <v>334</v>
      </c>
      <c r="B37" s="38" t="s">
        <v>70</v>
      </c>
      <c r="C37" s="44">
        <v>100000</v>
      </c>
      <c r="D37" s="8">
        <v>430760.971</v>
      </c>
      <c r="E37" s="19">
        <f t="shared" si="4"/>
        <v>530760.971</v>
      </c>
      <c r="F37" s="44">
        <v>236724.824</v>
      </c>
      <c r="G37" s="8">
        <f t="shared" si="0"/>
        <v>44.60102323537274</v>
      </c>
      <c r="H37" s="8">
        <f>530088.401-F37</f>
        <v>293363.57699999993</v>
      </c>
      <c r="I37" s="8">
        <f t="shared" si="1"/>
        <v>55.272258705698974</v>
      </c>
      <c r="J37" s="8">
        <f t="shared" si="5"/>
        <v>530088.401</v>
      </c>
      <c r="K37" s="19">
        <f t="shared" si="3"/>
        <v>99.87328194107172</v>
      </c>
    </row>
    <row r="38" spans="1:11" ht="12.75" hidden="1">
      <c r="A38" s="18" t="s">
        <v>71</v>
      </c>
      <c r="B38" s="37" t="s">
        <v>72</v>
      </c>
      <c r="C38" s="42">
        <v>0</v>
      </c>
      <c r="D38" s="8">
        <v>0</v>
      </c>
      <c r="E38" s="19">
        <f t="shared" si="4"/>
        <v>0</v>
      </c>
      <c r="F38" s="44">
        <v>0</v>
      </c>
      <c r="G38" s="8" t="e">
        <f t="shared" si="0"/>
        <v>#DIV/0!</v>
      </c>
      <c r="H38" s="8">
        <v>0</v>
      </c>
      <c r="I38" s="8" t="e">
        <f t="shared" si="1"/>
        <v>#DIV/0!</v>
      </c>
      <c r="J38" s="8">
        <f t="shared" si="5"/>
        <v>0</v>
      </c>
      <c r="K38" s="19" t="e">
        <f t="shared" si="3"/>
        <v>#DIV/0!</v>
      </c>
    </row>
    <row r="39" spans="1:11" ht="12.75" hidden="1">
      <c r="A39" s="18" t="s">
        <v>73</v>
      </c>
      <c r="B39" s="37" t="s">
        <v>74</v>
      </c>
      <c r="C39" s="42">
        <v>0</v>
      </c>
      <c r="D39" s="8">
        <v>0</v>
      </c>
      <c r="E39" s="19">
        <f t="shared" si="4"/>
        <v>0</v>
      </c>
      <c r="F39" s="44">
        <v>0</v>
      </c>
      <c r="G39" s="8" t="e">
        <f t="shared" si="0"/>
        <v>#DIV/0!</v>
      </c>
      <c r="H39" s="8"/>
      <c r="I39" s="8" t="e">
        <f t="shared" si="1"/>
        <v>#DIV/0!</v>
      </c>
      <c r="J39" s="8">
        <f t="shared" si="5"/>
        <v>0</v>
      </c>
      <c r="K39" s="19" t="e">
        <f t="shared" si="3"/>
        <v>#DIV/0!</v>
      </c>
    </row>
    <row r="40" spans="1:11" ht="12.75" hidden="1">
      <c r="A40" s="18" t="s">
        <v>75</v>
      </c>
      <c r="B40" s="37" t="s">
        <v>76</v>
      </c>
      <c r="C40" s="42"/>
      <c r="D40" s="8">
        <v>0</v>
      </c>
      <c r="E40" s="19">
        <f t="shared" si="4"/>
        <v>0</v>
      </c>
      <c r="F40" s="44">
        <v>0</v>
      </c>
      <c r="G40" s="8" t="e">
        <f t="shared" si="0"/>
        <v>#DIV/0!</v>
      </c>
      <c r="H40" s="8">
        <v>0</v>
      </c>
      <c r="I40" s="8" t="e">
        <f t="shared" si="1"/>
        <v>#DIV/0!</v>
      </c>
      <c r="J40" s="8">
        <f t="shared" si="5"/>
        <v>0</v>
      </c>
      <c r="K40" s="19" t="e">
        <f t="shared" si="3"/>
        <v>#DIV/0!</v>
      </c>
    </row>
    <row r="41" spans="1:11" ht="12.75">
      <c r="A41" s="21"/>
      <c r="B41" s="38" t="s">
        <v>77</v>
      </c>
      <c r="C41" s="44">
        <f>+C7+C14+C18+C22+C24+C27+C33+C37</f>
        <v>7249496.64</v>
      </c>
      <c r="D41" s="8">
        <f>+D7+D14+D18+D22+D24+D27+D33+D37+D38+D39+D40</f>
        <v>1067222.537</v>
      </c>
      <c r="E41" s="19">
        <f>+E7+E14+E18+E22+E24+E27+E33+E37+E38+E39+E40</f>
        <v>8316719.177</v>
      </c>
      <c r="F41" s="44">
        <f>+F7+F14+F18+F22+F24+F27+F33+F37+F38+F39+F40</f>
        <v>4351945.17</v>
      </c>
      <c r="G41" s="8">
        <f t="shared" si="0"/>
        <v>52.32766764609972</v>
      </c>
      <c r="H41" s="8">
        <f>+H7+H14+H18+H22+H24+H27+H33+H37+H38+H39+H40</f>
        <v>3129811.236</v>
      </c>
      <c r="I41" s="8">
        <f t="shared" si="1"/>
        <v>37.63276322537781</v>
      </c>
      <c r="J41" s="8">
        <f>+J7+J14+J18+J22+J24+J27+J33+J37+J38+J39+J40</f>
        <v>7481756.406</v>
      </c>
      <c r="K41" s="19">
        <f t="shared" si="3"/>
        <v>89.96043087147754</v>
      </c>
    </row>
    <row r="42" spans="1:11" ht="12.75" hidden="1">
      <c r="A42" s="18">
        <v>4</v>
      </c>
      <c r="B42" s="37" t="s">
        <v>78</v>
      </c>
      <c r="C42" s="44"/>
      <c r="D42" s="8"/>
      <c r="E42" s="19">
        <f t="shared" si="4"/>
        <v>0</v>
      </c>
      <c r="F42" s="42">
        <v>0</v>
      </c>
      <c r="G42" s="10" t="e">
        <f t="shared" si="0"/>
        <v>#DIV/0!</v>
      </c>
      <c r="H42" s="9"/>
      <c r="I42" s="10" t="e">
        <f t="shared" si="1"/>
        <v>#DIV/0!</v>
      </c>
      <c r="J42" s="9"/>
      <c r="K42" s="20" t="e">
        <f t="shared" si="3"/>
        <v>#DIV/0!</v>
      </c>
    </row>
    <row r="43" spans="1:11" ht="26.25" thickBot="1">
      <c r="A43" s="22"/>
      <c r="B43" s="39" t="s">
        <v>79</v>
      </c>
      <c r="C43" s="45">
        <f>+C41+C42</f>
        <v>7249496.64</v>
      </c>
      <c r="D43" s="23">
        <f>+D41+D42</f>
        <v>1067222.537</v>
      </c>
      <c r="E43" s="24">
        <f t="shared" si="4"/>
        <v>8316719.176999999</v>
      </c>
      <c r="F43" s="45">
        <f>+F41+F42</f>
        <v>4351945.17</v>
      </c>
      <c r="G43" s="23">
        <f t="shared" si="0"/>
        <v>52.32766764609973</v>
      </c>
      <c r="H43" s="23">
        <f>+H41+H42</f>
        <v>3129811.236</v>
      </c>
      <c r="I43" s="23">
        <f t="shared" si="1"/>
        <v>37.632763225377815</v>
      </c>
      <c r="J43" s="23">
        <f>+J41+J42</f>
        <v>7481756.406</v>
      </c>
      <c r="K43" s="24">
        <f t="shared" si="3"/>
        <v>89.96043087147754</v>
      </c>
    </row>
  </sheetData>
  <mergeCells count="5">
    <mergeCell ref="C5:E5"/>
    <mergeCell ref="F5:K5"/>
    <mergeCell ref="C1:I1"/>
    <mergeCell ref="C2:I2"/>
    <mergeCell ref="C3:I3"/>
  </mergeCells>
  <printOptions horizontalCentered="1" verticalCentered="1"/>
  <pageMargins left="0" right="0" top="0.7480314960629921" bottom="0.984251968503937" header="0" footer="1.11"/>
  <pageSetup horizontalDpi="600" verticalDpi="600" orientation="landscape" scale="80" r:id="rId1"/>
  <headerFooter alignWithMargins="0">
    <oddFooter>&amp;LFuente: Ejecución presupuestal&amp;R&amp;Z&amp;F/rchg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B1">
      <selection activeCell="C1" sqref="C1:I1"/>
    </sheetView>
  </sheetViews>
  <sheetFormatPr defaultColWidth="11.421875" defaultRowHeight="12.75"/>
  <cols>
    <col min="1" max="1" width="18.140625" style="0" customWidth="1"/>
    <col min="2" max="2" width="33.8515625" style="0" customWidth="1"/>
    <col min="3" max="3" width="13.57421875" style="0" customWidth="1"/>
    <col min="4" max="4" width="14.28125" style="0" customWidth="1"/>
    <col min="5" max="5" width="13.7109375" style="0" customWidth="1"/>
    <col min="6" max="6" width="14.140625" style="0" customWidth="1"/>
    <col min="8" max="8" width="13.7109375" style="0" customWidth="1"/>
    <col min="10" max="10" width="13.57421875" style="0" customWidth="1"/>
  </cols>
  <sheetData>
    <row r="1" spans="1:11" ht="12.75">
      <c r="A1" s="56" t="s">
        <v>93</v>
      </c>
      <c r="B1" s="13"/>
      <c r="C1" s="54" t="s">
        <v>0</v>
      </c>
      <c r="D1" s="54"/>
      <c r="E1" s="54"/>
      <c r="F1" s="54"/>
      <c r="G1" s="54"/>
      <c r="H1" s="54"/>
      <c r="I1" s="54"/>
      <c r="J1" s="13"/>
      <c r="K1" s="13"/>
    </row>
    <row r="2" spans="1:11" ht="12.75">
      <c r="A2" s="56" t="s">
        <v>94</v>
      </c>
      <c r="B2" s="13"/>
      <c r="C2" s="54" t="s">
        <v>1</v>
      </c>
      <c r="D2" s="54"/>
      <c r="E2" s="54"/>
      <c r="F2" s="54"/>
      <c r="G2" s="54"/>
      <c r="H2" s="54"/>
      <c r="I2" s="54"/>
      <c r="J2" s="13"/>
      <c r="K2" s="13"/>
    </row>
    <row r="3" spans="1:11" ht="12.75">
      <c r="A3" s="56" t="s">
        <v>95</v>
      </c>
      <c r="B3" s="13"/>
      <c r="C3" s="55" t="s">
        <v>2</v>
      </c>
      <c r="D3" s="55"/>
      <c r="E3" s="55"/>
      <c r="F3" s="55"/>
      <c r="G3" s="55"/>
      <c r="H3" s="55"/>
      <c r="I3" s="55"/>
      <c r="J3" s="13"/>
      <c r="K3" s="13"/>
    </row>
    <row r="4" spans="1:11" ht="13.5" thickBot="1">
      <c r="A4" s="56" t="s">
        <v>96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7"/>
      <c r="B5" s="34"/>
      <c r="C5" s="40" t="s">
        <v>90</v>
      </c>
      <c r="D5" s="25"/>
      <c r="E5" s="30"/>
      <c r="F5" s="40" t="s">
        <v>10</v>
      </c>
      <c r="G5" s="25"/>
      <c r="H5" s="25"/>
      <c r="I5" s="25"/>
      <c r="J5" s="25"/>
      <c r="K5" s="30"/>
    </row>
    <row r="6" spans="1:11" ht="13.5" thickBot="1">
      <c r="A6" s="31" t="s">
        <v>3</v>
      </c>
      <c r="B6" s="35" t="s">
        <v>4</v>
      </c>
      <c r="C6" s="31" t="s">
        <v>5</v>
      </c>
      <c r="D6" s="32" t="s">
        <v>6</v>
      </c>
      <c r="E6" s="33" t="s">
        <v>7</v>
      </c>
      <c r="F6" s="31" t="s">
        <v>8</v>
      </c>
      <c r="G6" s="32" t="s">
        <v>91</v>
      </c>
      <c r="H6" s="32" t="s">
        <v>9</v>
      </c>
      <c r="I6" s="32" t="s">
        <v>91</v>
      </c>
      <c r="J6" s="32" t="s">
        <v>92</v>
      </c>
      <c r="K6" s="33" t="s">
        <v>11</v>
      </c>
    </row>
    <row r="7" spans="1:11" ht="12.75">
      <c r="A7" s="14" t="s">
        <v>12</v>
      </c>
      <c r="B7" s="1" t="s">
        <v>13</v>
      </c>
      <c r="C7" s="2">
        <f>SUM(C8:C13)</f>
        <v>15468007.84</v>
      </c>
      <c r="D7" s="2">
        <f>SUM(D8:D13)</f>
        <v>2778306.7169999997</v>
      </c>
      <c r="E7" s="2">
        <f aca="true" t="shared" si="0" ref="E7:E22">+C7+D7</f>
        <v>18246314.557</v>
      </c>
      <c r="F7" s="2">
        <f>SUM(F8:F13)</f>
        <v>3512877.194</v>
      </c>
      <c r="G7" s="2">
        <f aca="true" t="shared" si="1" ref="G7:G22">+F7/E7*100</f>
        <v>19.252530054910856</v>
      </c>
      <c r="H7" s="2">
        <f>SUM(H8:H13)</f>
        <v>12746501.969999999</v>
      </c>
      <c r="I7" s="2">
        <f aca="true" t="shared" si="2" ref="I7:I22">+H7/E7*100</f>
        <v>69.857953671581</v>
      </c>
      <c r="J7" s="2">
        <f aca="true" t="shared" si="3" ref="J7:J22">+F7+H7</f>
        <v>16259379.163999999</v>
      </c>
      <c r="K7" s="2">
        <f aca="true" t="shared" si="4" ref="K7:K22">+J7/E7*100</f>
        <v>89.11048372649185</v>
      </c>
    </row>
    <row r="8" spans="1:11" ht="12.75">
      <c r="A8" s="6" t="s">
        <v>14</v>
      </c>
      <c r="B8" t="s">
        <v>81</v>
      </c>
      <c r="C8" s="3">
        <f>SUM(USAQUEN!C8+CHAPINERO!C8+SANTAFE!C8+'S. CRIST.'!C8+USME!C8)</f>
        <v>10114788.546</v>
      </c>
      <c r="D8" s="3">
        <f>SUM(USAQUEN!D8+CHAPINERO!D8+SANTAFE!D8+'S. CRIST.'!D8+USME!D8)</f>
        <v>1118245.081</v>
      </c>
      <c r="E8" s="4">
        <f t="shared" si="0"/>
        <v>11233033.627</v>
      </c>
      <c r="F8" s="3">
        <f>SUM(USAQUEN!F8+CHAPINERO!F8+SANTAFE!F8+'S. CRIST.'!F8+USME!F8)</f>
        <v>3391943.039</v>
      </c>
      <c r="G8" s="4">
        <f t="shared" si="1"/>
        <v>30.196144261929753</v>
      </c>
      <c r="H8" s="3">
        <f>SUM(USAQUEN!H8+CHAPINERO!H8+SANTAFE!H8+'S. CRIST.'!H8+USME!H8)</f>
        <v>6782293.255000001</v>
      </c>
      <c r="I8" s="4">
        <f t="shared" si="2"/>
        <v>60.37810871230646</v>
      </c>
      <c r="J8" s="3">
        <f t="shared" si="3"/>
        <v>10174236.294</v>
      </c>
      <c r="K8" s="3">
        <f t="shared" si="4"/>
        <v>90.57425297423619</v>
      </c>
    </row>
    <row r="9" spans="1:11" ht="12.75">
      <c r="A9" s="6" t="s">
        <v>16</v>
      </c>
      <c r="B9" t="s">
        <v>17</v>
      </c>
      <c r="C9" s="3">
        <f>SUM(USAQUEN!C9+CHAPINERO!C9+SANTAFE!C9+'S. CRIST.'!C9+USME!C9)</f>
        <v>1604695.486</v>
      </c>
      <c r="D9" s="3">
        <f>SUM(USAQUEN!D9+CHAPINERO!D9+SANTAFE!D9+'S. CRIST.'!D9+USME!D9)</f>
        <v>2142964.366</v>
      </c>
      <c r="E9" s="4">
        <f t="shared" si="0"/>
        <v>3747659.852</v>
      </c>
      <c r="F9" s="3">
        <f>SUM(USAQUEN!F9+CHAPINERO!F9+SANTAFE!F9+'S. CRIST.'!F9+USME!F9)</f>
        <v>11894.887</v>
      </c>
      <c r="G9" s="4">
        <f t="shared" si="1"/>
        <v>0.31739505370670446</v>
      </c>
      <c r="H9" s="3">
        <f>SUM(USAQUEN!H9+CHAPINERO!H9+SANTAFE!H9+'S. CRIST.'!H9+USME!H9)</f>
        <v>3485712.3789999997</v>
      </c>
      <c r="I9" s="4">
        <f t="shared" si="2"/>
        <v>93.01037224975987</v>
      </c>
      <c r="J9" s="3">
        <f t="shared" si="3"/>
        <v>3497607.266</v>
      </c>
      <c r="K9" s="3">
        <f t="shared" si="4"/>
        <v>93.32776730346659</v>
      </c>
    </row>
    <row r="10" spans="1:11" ht="12.75">
      <c r="A10" s="6" t="s">
        <v>18</v>
      </c>
      <c r="B10" t="s">
        <v>19</v>
      </c>
      <c r="C10" s="3">
        <f>SUM(USAQUEN!C10+CHAPINERO!C10+SANTAFE!C10+'S. CRIST.'!C10+USME!C10)</f>
        <v>2147000</v>
      </c>
      <c r="D10" s="3">
        <f>SUM(USAQUEN!D10+CHAPINERO!D10+SANTAFE!D10+'S. CRIST.'!D10+USME!D10)</f>
        <v>9547.269999999997</v>
      </c>
      <c r="E10" s="4">
        <f t="shared" si="0"/>
        <v>2156547.27</v>
      </c>
      <c r="F10" s="3">
        <f>SUM(USAQUEN!F10+CHAPINERO!F10+SANTAFE!F10+'S. CRIST.'!F10+USME!F10)</f>
        <v>35475.656</v>
      </c>
      <c r="G10" s="4">
        <f t="shared" si="1"/>
        <v>1.6450210247420174</v>
      </c>
      <c r="H10" s="3">
        <f>SUM(USAQUEN!H10+CHAPINERO!H10+SANTAFE!H10+'S. CRIST.'!H10+USME!H10)</f>
        <v>1513748.687</v>
      </c>
      <c r="I10" s="4">
        <f t="shared" si="2"/>
        <v>70.19316052367355</v>
      </c>
      <c r="J10" s="3">
        <f t="shared" si="3"/>
        <v>1549224.3429999999</v>
      </c>
      <c r="K10" s="3">
        <f t="shared" si="4"/>
        <v>71.83818154841558</v>
      </c>
    </row>
    <row r="11" spans="1:11" ht="12.75">
      <c r="A11" s="6" t="s">
        <v>20</v>
      </c>
      <c r="B11" t="s">
        <v>21</v>
      </c>
      <c r="C11" s="3">
        <f>SUM(USAQUEN!C11+CHAPINERO!C11+SANTAFE!C11+'S. CRIST.'!C11+USME!C11)</f>
        <v>808523.808</v>
      </c>
      <c r="D11" s="3">
        <f>SUM(USAQUEN!D11+CHAPINERO!D11+SANTAFE!D11+'S. CRIST.'!D11+USME!D11)</f>
        <v>27550</v>
      </c>
      <c r="E11" s="4">
        <f t="shared" si="0"/>
        <v>836073.808</v>
      </c>
      <c r="F11" s="3">
        <f>SUM(USAQUEN!F11+CHAPINERO!F11+SANTAFE!F11+'S. CRIST.'!F11+USME!F11)</f>
        <v>73563.612</v>
      </c>
      <c r="G11" s="4">
        <f t="shared" si="1"/>
        <v>8.798698308224003</v>
      </c>
      <c r="H11" s="3">
        <f>SUM(USAQUEN!H11+CHAPINERO!H11+SANTAFE!H11+'S. CRIST.'!H11+USME!H11)</f>
        <v>691747.649</v>
      </c>
      <c r="I11" s="4">
        <f t="shared" si="2"/>
        <v>82.73762942709001</v>
      </c>
      <c r="J11" s="3">
        <f t="shared" si="3"/>
        <v>765311.2609999999</v>
      </c>
      <c r="K11" s="3">
        <f t="shared" si="4"/>
        <v>91.536327735314</v>
      </c>
    </row>
    <row r="12" spans="1:11" ht="12.75">
      <c r="A12" s="6" t="s">
        <v>22</v>
      </c>
      <c r="B12" t="s">
        <v>23</v>
      </c>
      <c r="C12" s="3">
        <f>SUM(USAQUEN!C12+CHAPINERO!C12+SANTAFE!C12+'S. CRIST.'!C12+USME!C12)</f>
        <v>693000</v>
      </c>
      <c r="D12" s="3">
        <f>SUM(USAQUEN!D12+CHAPINERO!D12+SANTAFE!D12+'S. CRIST.'!D12+USME!D12)</f>
        <v>-520000</v>
      </c>
      <c r="E12" s="4">
        <f t="shared" si="0"/>
        <v>173000</v>
      </c>
      <c r="F12" s="3">
        <f>SUM(USAQUEN!F12+CHAPINERO!F12+SANTAFE!F12+'S. CRIST.'!F12+USME!F12)</f>
        <v>0</v>
      </c>
      <c r="G12" s="4">
        <f t="shared" si="1"/>
        <v>0</v>
      </c>
      <c r="H12" s="3">
        <f>SUM(USAQUEN!H12+CHAPINERO!H12+SANTAFE!H12+'S. CRIST.'!H12+USME!H12)</f>
        <v>173000</v>
      </c>
      <c r="I12" s="4">
        <f t="shared" si="2"/>
        <v>100</v>
      </c>
      <c r="J12" s="3">
        <f t="shared" si="3"/>
        <v>173000</v>
      </c>
      <c r="K12" s="3">
        <f t="shared" si="4"/>
        <v>100</v>
      </c>
    </row>
    <row r="13" spans="1:11" ht="12.75">
      <c r="A13" s="6" t="s">
        <v>24</v>
      </c>
      <c r="B13" t="s">
        <v>25</v>
      </c>
      <c r="C13" s="3">
        <f>SUM(USAQUEN!C13+CHAPINERO!C13+SANTAFE!C13+'S. CRIST.'!C13+USME!C13)</f>
        <v>100000</v>
      </c>
      <c r="D13" s="3">
        <f>SUM(USAQUEN!D13+CHAPINERO!D13+SANTAFE!D13+'S. CRIST.'!D13+USME!D13)</f>
        <v>0</v>
      </c>
      <c r="E13" s="4">
        <f t="shared" si="0"/>
        <v>100000</v>
      </c>
      <c r="F13" s="3">
        <f>SUM(USAQUEN!F13+CHAPINERO!F13+SANTAFE!F13+'S. CRIST.'!F13+USME!F13)</f>
        <v>0</v>
      </c>
      <c r="G13" s="4">
        <f t="shared" si="1"/>
        <v>0</v>
      </c>
      <c r="H13" s="3">
        <f>SUM(USAQUEN!H13+CHAPINERO!H13+SANTAFE!H13+'S. CRIST.'!H13+USME!H13)</f>
        <v>100000</v>
      </c>
      <c r="I13" s="4">
        <f t="shared" si="2"/>
        <v>100</v>
      </c>
      <c r="J13" s="3">
        <f t="shared" si="3"/>
        <v>100000</v>
      </c>
      <c r="K13" s="3">
        <f t="shared" si="4"/>
        <v>100</v>
      </c>
    </row>
    <row r="14" spans="1:11" ht="12.75">
      <c r="A14" s="6" t="s">
        <v>26</v>
      </c>
      <c r="B14" s="1" t="s">
        <v>27</v>
      </c>
      <c r="C14" s="2">
        <f>SUM(C15:C17)</f>
        <v>4683191.88</v>
      </c>
      <c r="D14" s="2">
        <f>SUM(D15:D17)</f>
        <v>501422.537</v>
      </c>
      <c r="E14" s="2">
        <f t="shared" si="0"/>
        <v>5184614.416999999</v>
      </c>
      <c r="F14" s="2">
        <f>SUM(F15:F17)</f>
        <v>969820.557</v>
      </c>
      <c r="G14" s="2">
        <f t="shared" si="1"/>
        <v>18.70574123738159</v>
      </c>
      <c r="H14" s="2">
        <f>SUM(H15:H17)</f>
        <v>3060536.874</v>
      </c>
      <c r="I14" s="2">
        <f t="shared" si="2"/>
        <v>59.031137666953725</v>
      </c>
      <c r="J14" s="2">
        <f t="shared" si="3"/>
        <v>4030357.431</v>
      </c>
      <c r="K14" s="2">
        <f t="shared" si="4"/>
        <v>77.73687890433531</v>
      </c>
    </row>
    <row r="15" spans="1:11" ht="12.75">
      <c r="A15" s="6" t="s">
        <v>28</v>
      </c>
      <c r="B15" t="s">
        <v>29</v>
      </c>
      <c r="C15" s="3">
        <f>SUM(USAQUEN!C15+CHAPINERO!C15+SANTAFE!C15+'S. CRIST.'!C15+USME!C15)</f>
        <v>1887200</v>
      </c>
      <c r="D15" s="3">
        <f>SUM(USAQUEN!D15+CHAPINERO!D15+SANTAFE!D15+'S. CRIST.'!D15+USME!D15)</f>
        <v>216200</v>
      </c>
      <c r="E15" s="4">
        <f t="shared" si="0"/>
        <v>2103400</v>
      </c>
      <c r="F15" s="3">
        <f>SUM(USAQUEN!F15+CHAPINERO!F15+SANTAFE!F15+'S. CRIST.'!F15+USME!F15)</f>
        <v>633976.47</v>
      </c>
      <c r="G15" s="4">
        <f t="shared" si="1"/>
        <v>30.140556717695162</v>
      </c>
      <c r="H15" s="3">
        <f>SUM(USAQUEN!H15+CHAPINERO!H15+SANTAFE!H15+'S. CRIST.'!H15+USME!H15)</f>
        <v>924164.669</v>
      </c>
      <c r="I15" s="4">
        <f t="shared" si="2"/>
        <v>43.93670576209946</v>
      </c>
      <c r="J15" s="3">
        <f t="shared" si="3"/>
        <v>1558141.139</v>
      </c>
      <c r="K15" s="3">
        <f t="shared" si="4"/>
        <v>74.07726247979461</v>
      </c>
    </row>
    <row r="16" spans="1:11" ht="12.75">
      <c r="A16" s="6" t="s">
        <v>30</v>
      </c>
      <c r="B16" t="s">
        <v>31</v>
      </c>
      <c r="C16" s="3">
        <f>SUM(USAQUEN!C16+CHAPINERO!C16+SANTAFE!C16+'S. CRIST.'!C16+USME!C16)</f>
        <v>820000</v>
      </c>
      <c r="D16" s="3">
        <f>SUM(USAQUEN!D16+CHAPINERO!D16+SANTAFE!D16+'S. CRIST.'!D16+USME!D16)</f>
        <v>0</v>
      </c>
      <c r="E16" s="4">
        <f t="shared" si="0"/>
        <v>820000</v>
      </c>
      <c r="F16" s="3">
        <f>SUM(USAQUEN!F16+CHAPINERO!F16+SANTAFE!F16+'S. CRIST.'!F16+USME!F16)</f>
        <v>235000</v>
      </c>
      <c r="G16" s="4">
        <f t="shared" si="1"/>
        <v>28.65853658536585</v>
      </c>
      <c r="H16" s="3">
        <f>SUM(USAQUEN!H16+CHAPINERO!H16+SANTAFE!H16+'S. CRIST.'!H16+USME!H16)</f>
        <v>572294.56</v>
      </c>
      <c r="I16" s="4">
        <f t="shared" si="2"/>
        <v>69.79201951219513</v>
      </c>
      <c r="J16" s="3">
        <f t="shared" si="3"/>
        <v>807294.56</v>
      </c>
      <c r="K16" s="3">
        <f t="shared" si="4"/>
        <v>98.45055609756098</v>
      </c>
    </row>
    <row r="17" spans="1:11" ht="12.75">
      <c r="A17" s="6" t="s">
        <v>32</v>
      </c>
      <c r="B17" t="s">
        <v>33</v>
      </c>
      <c r="C17" s="3">
        <f>SUM(USAQUEN!C17+CHAPINERO!C17+SANTAFE!C17+'S. CRIST.'!C17+USME!C17)</f>
        <v>1975991.88</v>
      </c>
      <c r="D17" s="3">
        <f>SUM(USAQUEN!D17+CHAPINERO!D17+SANTAFE!D17+'S. CRIST.'!D17+USME!D17)</f>
        <v>285222.537</v>
      </c>
      <c r="E17" s="4">
        <f t="shared" si="0"/>
        <v>2261214.417</v>
      </c>
      <c r="F17" s="3">
        <f>SUM(USAQUEN!F17+CHAPINERO!F17+SANTAFE!F17+'S. CRIST.'!F17+USME!F17)</f>
        <v>100844.087</v>
      </c>
      <c r="G17" s="4">
        <f t="shared" si="1"/>
        <v>4.459731294911517</v>
      </c>
      <c r="H17" s="3">
        <f>SUM(USAQUEN!H17+CHAPINERO!H17+SANTAFE!H17+'S. CRIST.'!H17+USME!H17)</f>
        <v>1564077.645</v>
      </c>
      <c r="I17" s="4">
        <f t="shared" si="2"/>
        <v>69.16980686312333</v>
      </c>
      <c r="J17" s="3">
        <f t="shared" si="3"/>
        <v>1664921.732</v>
      </c>
      <c r="K17" s="3">
        <f t="shared" si="4"/>
        <v>73.62953815803485</v>
      </c>
    </row>
    <row r="18" spans="1:11" ht="12.75">
      <c r="A18" s="6" t="s">
        <v>40</v>
      </c>
      <c r="B18" s="1" t="s">
        <v>35</v>
      </c>
      <c r="C18" s="2">
        <f>SUM(C19:C21)</f>
        <v>2814534.364</v>
      </c>
      <c r="D18" s="2">
        <f>SUM(D19:D21)</f>
        <v>92353.64199999999</v>
      </c>
      <c r="E18" s="2">
        <f t="shared" si="0"/>
        <v>2906888.006</v>
      </c>
      <c r="F18" s="2">
        <f>SUM(F19:F21)</f>
        <v>28597.244</v>
      </c>
      <c r="G18" s="2">
        <f t="shared" si="1"/>
        <v>0.9837752242595341</v>
      </c>
      <c r="H18" s="2">
        <f>SUM(H19:H21)</f>
        <v>2643869.552</v>
      </c>
      <c r="I18" s="2">
        <f t="shared" si="2"/>
        <v>90.9518889803421</v>
      </c>
      <c r="J18" s="2">
        <f t="shared" si="3"/>
        <v>2672466.796</v>
      </c>
      <c r="K18" s="2">
        <f t="shared" si="4"/>
        <v>91.93566420460164</v>
      </c>
    </row>
    <row r="19" spans="1:11" ht="12.75">
      <c r="A19" s="6" t="s">
        <v>36</v>
      </c>
      <c r="B19" t="s">
        <v>37</v>
      </c>
      <c r="C19" s="3">
        <f>SUM(USAQUEN!C19+CHAPINERO!C19+SANTAFE!C19+'S. CRIST.'!C19+USME!C19)</f>
        <v>1561200</v>
      </c>
      <c r="D19" s="3">
        <f>SUM(USAQUEN!D19+CHAPINERO!D19+SANTAFE!D19+'S. CRIST.'!D19+USME!D19)</f>
        <v>-80000</v>
      </c>
      <c r="E19" s="4">
        <f t="shared" si="0"/>
        <v>1481200</v>
      </c>
      <c r="F19" s="3">
        <f>SUM(USAQUEN!F19+CHAPINERO!F19+SANTAFE!F19+'S. CRIST.'!F19+USME!F19)</f>
        <v>17997.244</v>
      </c>
      <c r="G19" s="4">
        <f t="shared" si="1"/>
        <v>1.2150448285174182</v>
      </c>
      <c r="H19" s="3">
        <f>SUM(USAQUEN!H19+CHAPINERO!H19+SANTAFE!H19+'S. CRIST.'!H19+USME!H19)</f>
        <v>1306299.8769999999</v>
      </c>
      <c r="I19" s="4">
        <f t="shared" si="2"/>
        <v>88.19199817715365</v>
      </c>
      <c r="J19" s="3">
        <f t="shared" si="3"/>
        <v>1324297.1209999998</v>
      </c>
      <c r="K19" s="3">
        <f t="shared" si="4"/>
        <v>89.40704300567106</v>
      </c>
    </row>
    <row r="20" spans="1:11" ht="12.75">
      <c r="A20" s="6" t="s">
        <v>38</v>
      </c>
      <c r="B20" t="s">
        <v>39</v>
      </c>
      <c r="C20" s="3">
        <f>SUM(USAQUEN!C20+CHAPINERO!C20+SANTAFE!C20+'S. CRIST.'!C20+USME!C20)</f>
        <v>403334.364</v>
      </c>
      <c r="D20" s="3">
        <f>SUM(USAQUEN!D20+CHAPINERO!D20+SANTAFE!D20+'S. CRIST.'!D20+USME!D20)</f>
        <v>88000</v>
      </c>
      <c r="E20" s="4">
        <f t="shared" si="0"/>
        <v>491334.364</v>
      </c>
      <c r="F20" s="3">
        <f>SUM(USAQUEN!F20+CHAPINERO!F20+SANTAFE!F20+'S. CRIST.'!F20+USME!F20)</f>
        <v>0</v>
      </c>
      <c r="G20" s="4">
        <f t="shared" si="1"/>
        <v>0</v>
      </c>
      <c r="H20" s="3">
        <f>SUM(USAQUEN!H20+CHAPINERO!H20+SANTAFE!H20+'S. CRIST.'!H20+USME!H20)</f>
        <v>448669.675</v>
      </c>
      <c r="I20" s="4">
        <f t="shared" si="2"/>
        <v>91.31656726538264</v>
      </c>
      <c r="J20" s="3">
        <f t="shared" si="3"/>
        <v>448669.675</v>
      </c>
      <c r="K20" s="3">
        <f t="shared" si="4"/>
        <v>91.31656726538264</v>
      </c>
    </row>
    <row r="21" spans="1:11" ht="12.75">
      <c r="A21" s="6" t="s">
        <v>84</v>
      </c>
      <c r="B21" t="s">
        <v>41</v>
      </c>
      <c r="C21" s="3">
        <f>SUM(USAQUEN!C21+CHAPINERO!C21+SANTAFE!C21+'S. CRIST.'!C21+USME!C21)</f>
        <v>850000</v>
      </c>
      <c r="D21" s="3">
        <f>SUM(USAQUEN!D21+CHAPINERO!D21+SANTAFE!D21+'S. CRIST.'!D21+USME!D21)</f>
        <v>84353.64199999999</v>
      </c>
      <c r="E21" s="4">
        <f t="shared" si="0"/>
        <v>934353.642</v>
      </c>
      <c r="F21" s="3">
        <f>SUM(USAQUEN!F21+CHAPINERO!F21+SANTAFE!F21+'S. CRIST.'!F21+USME!F21)</f>
        <v>10600</v>
      </c>
      <c r="G21" s="4">
        <f t="shared" si="1"/>
        <v>1.1344740924122176</v>
      </c>
      <c r="H21" s="3">
        <f>SUM(USAQUEN!H21+CHAPINERO!H21+SANTAFE!H21+'S. CRIST.'!H21+USME!H21)</f>
        <v>888900</v>
      </c>
      <c r="I21" s="4">
        <f t="shared" si="2"/>
        <v>95.13528497596417</v>
      </c>
      <c r="J21" s="3">
        <f t="shared" si="3"/>
        <v>899500</v>
      </c>
      <c r="K21" s="3">
        <f t="shared" si="4"/>
        <v>96.26975906837639</v>
      </c>
    </row>
    <row r="22" spans="1:11" ht="12.75">
      <c r="A22" s="6" t="s">
        <v>42</v>
      </c>
      <c r="B22" s="1" t="s">
        <v>43</v>
      </c>
      <c r="C22" s="2">
        <f>SUM(C23)</f>
        <v>1848000</v>
      </c>
      <c r="D22" s="2">
        <f>SUM(D23)</f>
        <v>1008756.942</v>
      </c>
      <c r="E22" s="2">
        <f t="shared" si="0"/>
        <v>2856756.942</v>
      </c>
      <c r="F22" s="2">
        <f>SUM(F23)</f>
        <v>0</v>
      </c>
      <c r="G22" s="2">
        <f t="shared" si="1"/>
        <v>0</v>
      </c>
      <c r="H22" s="2">
        <f>SUM(H23)</f>
        <v>2784906.202</v>
      </c>
      <c r="I22" s="2">
        <f t="shared" si="2"/>
        <v>97.48488438257903</v>
      </c>
      <c r="J22" s="2">
        <f t="shared" si="3"/>
        <v>2784906.202</v>
      </c>
      <c r="K22" s="2">
        <f t="shared" si="4"/>
        <v>97.48488438257903</v>
      </c>
    </row>
    <row r="23" spans="1:11" ht="12.75">
      <c r="A23" s="6" t="s">
        <v>44</v>
      </c>
      <c r="B23" t="s">
        <v>45</v>
      </c>
      <c r="C23" s="3">
        <f>SUM(USAQUEN!C23+CHAPINERO!C23+SANTAFE!C23+'S. CRIST.'!C23+USME!C23)</f>
        <v>1848000</v>
      </c>
      <c r="D23" s="3">
        <f>SUM(USAQUEN!D23+CHAPINERO!D23+SANTAFE!D23+'S. CRIST.'!D23+USME!D23)</f>
        <v>1008756.942</v>
      </c>
      <c r="E23" s="4">
        <f aca="true" t="shared" si="5" ref="E23:E38">+C23+D23</f>
        <v>2856756.942</v>
      </c>
      <c r="F23" s="3">
        <f>SUM(USAQUEN!F23+CHAPINERO!F23+SANTAFE!F23+'S. CRIST.'!F23+USME!F23)</f>
        <v>0</v>
      </c>
      <c r="G23" s="4">
        <f aca="true" t="shared" si="6" ref="G23:G38">+F23/E23*100</f>
        <v>0</v>
      </c>
      <c r="H23" s="3">
        <f>SUM(USAQUEN!H23+CHAPINERO!H23+SANTAFE!H23+'S. CRIST.'!H23+USME!H23)</f>
        <v>2784906.202</v>
      </c>
      <c r="I23" s="4">
        <f aca="true" t="shared" si="7" ref="I23:I38">+H23/E23*100</f>
        <v>97.48488438257903</v>
      </c>
      <c r="J23" s="3">
        <f>+F23+H23</f>
        <v>2784906.202</v>
      </c>
      <c r="K23" s="3">
        <f aca="true" t="shared" si="8" ref="K23:K38">+J23/E23*100</f>
        <v>97.48488438257903</v>
      </c>
    </row>
    <row r="24" spans="1:11" ht="12.75">
      <c r="A24" s="6" t="s">
        <v>46</v>
      </c>
      <c r="B24" s="1" t="s">
        <v>47</v>
      </c>
      <c r="C24" s="2">
        <f>SUM(C25:C26)</f>
        <v>0</v>
      </c>
      <c r="D24" s="2">
        <f>SUM(D25:D26)</f>
        <v>0</v>
      </c>
      <c r="E24" s="2">
        <f t="shared" si="5"/>
        <v>0</v>
      </c>
      <c r="F24" s="2">
        <f>SUM(F25:F26)</f>
        <v>0</v>
      </c>
      <c r="G24" s="2" t="e">
        <f t="shared" si="6"/>
        <v>#DIV/0!</v>
      </c>
      <c r="H24" s="2">
        <f>SUM(H25:H26)</f>
        <v>0</v>
      </c>
      <c r="I24" s="2" t="e">
        <f t="shared" si="7"/>
        <v>#DIV/0!</v>
      </c>
      <c r="J24" s="2">
        <f>SUM(J25:J26)</f>
        <v>0</v>
      </c>
      <c r="K24" s="2" t="e">
        <f t="shared" si="8"/>
        <v>#DIV/0!</v>
      </c>
    </row>
    <row r="25" spans="1:11" ht="12.75">
      <c r="A25" s="6" t="s">
        <v>87</v>
      </c>
      <c r="B25" t="s">
        <v>49</v>
      </c>
      <c r="C25" s="3">
        <f>SUM(USAQUEN!C25+CHAPINERO!C25+SANTAFE!C25+'S. CRIST.'!C25+USME!C25)</f>
        <v>0</v>
      </c>
      <c r="D25" s="3">
        <f>SUM(USAQUEN!D25+CHAPINERO!D25+SANTAFE!D25+'S. CRIST.'!D25+USME!D25)</f>
        <v>0</v>
      </c>
      <c r="E25" s="4">
        <f t="shared" si="5"/>
        <v>0</v>
      </c>
      <c r="F25" s="3">
        <f>SUM(USAQUEN!F25+CHAPINERO!F25+SANTAFE!F25+'S. CRIST.'!F25+USME!F25)</f>
        <v>0</v>
      </c>
      <c r="G25" s="4" t="e">
        <f t="shared" si="6"/>
        <v>#DIV/0!</v>
      </c>
      <c r="H25" s="3">
        <f>SUM(USAQUEN!H25+CHAPINERO!H25+SANTAFE!H25+'S. CRIST.'!H25+USME!H25)</f>
        <v>0</v>
      </c>
      <c r="I25" s="4" t="e">
        <f t="shared" si="7"/>
        <v>#DIV/0!</v>
      </c>
      <c r="J25" s="3">
        <f aca="true" t="shared" si="9" ref="J25:J42">+F25+H25</f>
        <v>0</v>
      </c>
      <c r="K25" s="3" t="e">
        <f t="shared" si="8"/>
        <v>#DIV/0!</v>
      </c>
    </row>
    <row r="26" spans="1:11" ht="12.75">
      <c r="A26" s="6" t="s">
        <v>88</v>
      </c>
      <c r="B26" t="s">
        <v>50</v>
      </c>
      <c r="C26" s="3">
        <f>SUM(USAQUEN!C26+CHAPINERO!C26+SANTAFE!C26+'S. CRIST.'!C26+USME!C26)</f>
        <v>0</v>
      </c>
      <c r="D26" s="3">
        <f>SUM(USAQUEN!D26+CHAPINERO!D26+SANTAFE!D26+'S. CRIST.'!D26+USME!D26)</f>
        <v>0</v>
      </c>
      <c r="E26" s="4">
        <f t="shared" si="5"/>
        <v>0</v>
      </c>
      <c r="F26" s="3">
        <f>SUM(USAQUEN!F26+CHAPINERO!F26+SANTAFE!F26+'S. CRIST.'!F26+USME!F26)</f>
        <v>0</v>
      </c>
      <c r="G26" s="4" t="e">
        <f t="shared" si="6"/>
        <v>#DIV/0!</v>
      </c>
      <c r="H26" s="3">
        <f>SUM(USAQUEN!H26+CHAPINERO!H26+SANTAFE!H26+'S. CRIST.'!H26+USME!H26)</f>
        <v>0</v>
      </c>
      <c r="I26" s="4" t="e">
        <f t="shared" si="7"/>
        <v>#DIV/0!</v>
      </c>
      <c r="J26" s="3">
        <f t="shared" si="9"/>
        <v>0</v>
      </c>
      <c r="K26" s="3" t="e">
        <f t="shared" si="8"/>
        <v>#DIV/0!</v>
      </c>
    </row>
    <row r="27" spans="1:11" ht="12.75">
      <c r="A27" s="6" t="s">
        <v>51</v>
      </c>
      <c r="B27" s="1" t="s">
        <v>52</v>
      </c>
      <c r="C27" s="2">
        <f>SUM(C28:C32)</f>
        <v>2661983.751</v>
      </c>
      <c r="D27" s="2">
        <f>SUM(D28:D32)</f>
        <v>105450</v>
      </c>
      <c r="E27" s="2">
        <f t="shared" si="5"/>
        <v>2767433.751</v>
      </c>
      <c r="F27" s="2">
        <f>SUM(F28:F32)</f>
        <v>231232.411</v>
      </c>
      <c r="G27" s="2">
        <f t="shared" si="6"/>
        <v>8.35548135222551</v>
      </c>
      <c r="H27" s="2">
        <f>SUM(H28:H32)</f>
        <v>2351990.252</v>
      </c>
      <c r="I27" s="2">
        <f t="shared" si="7"/>
        <v>84.9881320971141</v>
      </c>
      <c r="J27" s="2">
        <f t="shared" si="9"/>
        <v>2583222.6629999997</v>
      </c>
      <c r="K27" s="2">
        <f t="shared" si="8"/>
        <v>93.3436134493396</v>
      </c>
    </row>
    <row r="28" spans="1:11" ht="12.75">
      <c r="A28" s="6" t="s">
        <v>85</v>
      </c>
      <c r="B28" t="s">
        <v>53</v>
      </c>
      <c r="C28" s="3">
        <f>SUM(USAQUEN!C28+CHAPINERO!C28+SANTAFE!C28+'S. CRIST.'!C28+USME!C28)</f>
        <v>80000</v>
      </c>
      <c r="D28" s="3">
        <f>SUM(USAQUEN!D28+CHAPINERO!D28+SANTAFE!D28+'S. CRIST.'!D28+USME!D28)</f>
        <v>60000</v>
      </c>
      <c r="E28" s="4">
        <f t="shared" si="5"/>
        <v>140000</v>
      </c>
      <c r="F28" s="3">
        <f>SUM(USAQUEN!F28+CHAPINERO!F28+SANTAFE!F28+'S. CRIST.'!F28+USME!F28)</f>
        <v>0</v>
      </c>
      <c r="G28" s="4">
        <f t="shared" si="6"/>
        <v>0</v>
      </c>
      <c r="H28" s="3">
        <f>SUM(USAQUEN!H28+CHAPINERO!H28+SANTAFE!H28+'S. CRIST.'!H28+USME!H28)</f>
        <v>136292.148</v>
      </c>
      <c r="I28" s="4">
        <f t="shared" si="7"/>
        <v>97.35153428571428</v>
      </c>
      <c r="J28" s="3">
        <f t="shared" si="9"/>
        <v>136292.148</v>
      </c>
      <c r="K28" s="3">
        <f t="shared" si="8"/>
        <v>97.35153428571428</v>
      </c>
    </row>
    <row r="29" spans="1:11" ht="12.75">
      <c r="A29" s="6" t="s">
        <v>54</v>
      </c>
      <c r="B29" t="s">
        <v>55</v>
      </c>
      <c r="C29" s="3">
        <f>SUM(USAQUEN!C29+CHAPINERO!C29+SANTAFE!C29+'S. CRIST.'!C29+USME!C29)</f>
        <v>536709.566</v>
      </c>
      <c r="D29" s="3">
        <f>SUM(USAQUEN!D29+CHAPINERO!D29+SANTAFE!D29+'S. CRIST.'!D29+USME!D29)</f>
        <v>42950</v>
      </c>
      <c r="E29" s="4">
        <f t="shared" si="5"/>
        <v>579659.566</v>
      </c>
      <c r="F29" s="3">
        <f>SUM(USAQUEN!F29+CHAPINERO!F29+SANTAFE!F29+'S. CRIST.'!F29+USME!F29)</f>
        <v>0</v>
      </c>
      <c r="G29" s="4">
        <f t="shared" si="6"/>
        <v>0</v>
      </c>
      <c r="H29" s="3">
        <f>SUM(USAQUEN!H29+CHAPINERO!H29+SANTAFE!H29+'S. CRIST.'!H29+USME!H29)</f>
        <v>564281.7039999999</v>
      </c>
      <c r="I29" s="4">
        <f t="shared" si="7"/>
        <v>97.347087341952</v>
      </c>
      <c r="J29" s="3">
        <f t="shared" si="9"/>
        <v>564281.7039999999</v>
      </c>
      <c r="K29" s="3">
        <f t="shared" si="8"/>
        <v>97.347087341952</v>
      </c>
    </row>
    <row r="30" spans="1:11" ht="12.75">
      <c r="A30" s="6" t="s">
        <v>56</v>
      </c>
      <c r="B30" t="s">
        <v>57</v>
      </c>
      <c r="C30" s="3">
        <f>SUM(USAQUEN!C30+CHAPINERO!C30+SANTAFE!C30+'S. CRIST.'!C30+USME!C30)</f>
        <v>297200</v>
      </c>
      <c r="D30" s="3">
        <f>SUM(USAQUEN!D30+CHAPINERO!D30+SANTAFE!D30+'S. CRIST.'!D30+USME!D30)</f>
        <v>2500</v>
      </c>
      <c r="E30" s="4">
        <f t="shared" si="5"/>
        <v>299700</v>
      </c>
      <c r="F30" s="3">
        <f>SUM(USAQUEN!F30+CHAPINERO!F30+SANTAFE!F30+'S. CRIST.'!F30+USME!F30)</f>
        <v>23500</v>
      </c>
      <c r="G30" s="4">
        <f t="shared" si="6"/>
        <v>7.841174507841174</v>
      </c>
      <c r="H30" s="3">
        <f>SUM(USAQUEN!H30+CHAPINERO!H30+SANTAFE!H30+'S. CRIST.'!H30+USME!H30)</f>
        <v>207650.396</v>
      </c>
      <c r="I30" s="4">
        <f t="shared" si="7"/>
        <v>69.28608475141809</v>
      </c>
      <c r="J30" s="3">
        <f t="shared" si="9"/>
        <v>231150.396</v>
      </c>
      <c r="K30" s="3">
        <f t="shared" si="8"/>
        <v>77.12725925925926</v>
      </c>
    </row>
    <row r="31" spans="1:11" ht="12.75">
      <c r="A31" s="6" t="s">
        <v>58</v>
      </c>
      <c r="B31" t="s">
        <v>59</v>
      </c>
      <c r="C31" s="3">
        <f>SUM(USAQUEN!C31+CHAPINERO!C31+SANTAFE!C31+'S. CRIST.'!C31+USME!C31)</f>
        <v>1573074.185</v>
      </c>
      <c r="D31" s="3">
        <f>SUM(USAQUEN!D31+CHAPINERO!D31+SANTAFE!D31+'S. CRIST.'!D31+USME!D31)</f>
        <v>0</v>
      </c>
      <c r="E31" s="4">
        <f t="shared" si="5"/>
        <v>1573074.185</v>
      </c>
      <c r="F31" s="3">
        <f>SUM(USAQUEN!F31+CHAPINERO!F31+SANTAFE!F31+'S. CRIST.'!F31+USME!F31)</f>
        <v>187832.957</v>
      </c>
      <c r="G31" s="4">
        <f t="shared" si="6"/>
        <v>11.940502157563534</v>
      </c>
      <c r="H31" s="3">
        <f>SUM(USAQUEN!H31+CHAPINERO!H31+SANTAFE!H31+'S. CRIST.'!H31+USME!H31)</f>
        <v>1336946.3660000002</v>
      </c>
      <c r="I31" s="4">
        <f t="shared" si="7"/>
        <v>84.98940347177589</v>
      </c>
      <c r="J31" s="3">
        <f t="shared" si="9"/>
        <v>1524779.323</v>
      </c>
      <c r="K31" s="3">
        <f t="shared" si="8"/>
        <v>96.9299056293394</v>
      </c>
    </row>
    <row r="32" spans="1:11" ht="12.75">
      <c r="A32" s="6" t="s">
        <v>60</v>
      </c>
      <c r="B32" t="s">
        <v>61</v>
      </c>
      <c r="C32" s="3">
        <f>SUM(USAQUEN!C32+CHAPINERO!C32+SANTAFE!C32+'S. CRIST.'!C32+USME!C32)</f>
        <v>175000</v>
      </c>
      <c r="D32" s="3">
        <f>SUM(USAQUEN!D32+CHAPINERO!D32+SANTAFE!D32+'S. CRIST.'!D32+USME!D32)</f>
        <v>0</v>
      </c>
      <c r="E32" s="4">
        <f t="shared" si="5"/>
        <v>175000</v>
      </c>
      <c r="F32" s="3">
        <f>SUM(USAQUEN!F32+CHAPINERO!F32+SANTAFE!F32+'S. CRIST.'!F32+USME!F32)</f>
        <v>19899.454</v>
      </c>
      <c r="G32" s="4">
        <f t="shared" si="6"/>
        <v>11.371116571428571</v>
      </c>
      <c r="H32" s="3">
        <f>SUM(USAQUEN!H32+CHAPINERO!H32+SANTAFE!H32+'S. CRIST.'!H32+USME!H32)</f>
        <v>106819.638</v>
      </c>
      <c r="I32" s="4">
        <f t="shared" si="7"/>
        <v>61.03979314285715</v>
      </c>
      <c r="J32" s="3">
        <f t="shared" si="9"/>
        <v>126719.092</v>
      </c>
      <c r="K32" s="3">
        <f t="shared" si="8"/>
        <v>72.41090971428572</v>
      </c>
    </row>
    <row r="33" spans="1:11" ht="12.75">
      <c r="A33" s="6" t="s">
        <v>62</v>
      </c>
      <c r="B33" s="1" t="s">
        <v>63</v>
      </c>
      <c r="C33" s="2">
        <f>SUM(C34:C36)</f>
        <v>6761764.8549999995</v>
      </c>
      <c r="D33" s="2">
        <f>SUM(D34:D36)</f>
        <v>2079492.491</v>
      </c>
      <c r="E33" s="2">
        <f t="shared" si="5"/>
        <v>8841257.345999999</v>
      </c>
      <c r="F33" s="2">
        <f>SUM(F34:F36)</f>
        <v>5434284.3209999995</v>
      </c>
      <c r="G33" s="2">
        <f t="shared" si="6"/>
        <v>61.4650621323516</v>
      </c>
      <c r="H33" s="2">
        <f>SUM(H34:H36)</f>
        <v>2226624.742</v>
      </c>
      <c r="I33" s="2">
        <f t="shared" si="7"/>
        <v>25.184480610185826</v>
      </c>
      <c r="J33" s="2">
        <f t="shared" si="9"/>
        <v>7660909.062999999</v>
      </c>
      <c r="K33" s="2">
        <f t="shared" si="8"/>
        <v>86.64954274253742</v>
      </c>
    </row>
    <row r="34" spans="1:11" ht="12.75">
      <c r="A34" s="6" t="s">
        <v>64</v>
      </c>
      <c r="B34" t="s">
        <v>65</v>
      </c>
      <c r="C34" s="3">
        <f>SUM(USAQUEN!C34+CHAPINERO!C34+SANTAFE!C34+'S. CRIST.'!C34+USME!C34)</f>
        <v>4934919.551999999</v>
      </c>
      <c r="D34" s="3">
        <f>SUM(USAQUEN!D34+CHAPINERO!D34+SANTAFE!D34+'S. CRIST.'!D34+USME!D34)</f>
        <v>1426663.764</v>
      </c>
      <c r="E34" s="4">
        <f t="shared" si="5"/>
        <v>6361583.316</v>
      </c>
      <c r="F34" s="3">
        <f>SUM(USAQUEN!F34+CHAPINERO!F34+SANTAFE!F34+'S. CRIST.'!F34+USME!F34)</f>
        <v>3898050.673</v>
      </c>
      <c r="G34" s="4">
        <f t="shared" si="6"/>
        <v>61.27485060513197</v>
      </c>
      <c r="H34" s="3">
        <f>SUM(USAQUEN!H34+CHAPINERO!H34+SANTAFE!H34+'S. CRIST.'!H34+USME!H34)</f>
        <v>1695554.0929999999</v>
      </c>
      <c r="I34" s="4">
        <f t="shared" si="7"/>
        <v>26.653020306053634</v>
      </c>
      <c r="J34" s="3">
        <f t="shared" si="9"/>
        <v>5593604.766</v>
      </c>
      <c r="K34" s="3">
        <f t="shared" si="8"/>
        <v>87.92787091118561</v>
      </c>
    </row>
    <row r="35" spans="1:11" ht="12.75">
      <c r="A35" s="6" t="s">
        <v>66</v>
      </c>
      <c r="B35" t="s">
        <v>67</v>
      </c>
      <c r="C35" s="3">
        <f>SUM(USAQUEN!C35+CHAPINERO!C35+SANTAFE!C35+'S. CRIST.'!C35+USME!C35)</f>
        <v>1524845.303</v>
      </c>
      <c r="D35" s="3">
        <f>SUM(USAQUEN!D35+CHAPINERO!D35+SANTAFE!D35+'S. CRIST.'!D35+USME!D35)</f>
        <v>474655.56299999997</v>
      </c>
      <c r="E35" s="4">
        <f t="shared" si="5"/>
        <v>1999500.866</v>
      </c>
      <c r="F35" s="3">
        <f>SUM(USAQUEN!F35+CHAPINERO!F35+SANTAFE!F35+'S. CRIST.'!F35+USME!F35)</f>
        <v>1271116.588</v>
      </c>
      <c r="G35" s="4">
        <f t="shared" si="6"/>
        <v>63.571694797155445</v>
      </c>
      <c r="H35" s="3">
        <f>SUM(USAQUEN!H35+CHAPINERO!H35+SANTAFE!H35+'S. CRIST.'!H35+USME!H35)</f>
        <v>462700.64900000003</v>
      </c>
      <c r="I35" s="4">
        <f t="shared" si="7"/>
        <v>23.14080763193828</v>
      </c>
      <c r="J35" s="3">
        <f t="shared" si="9"/>
        <v>1733817.237</v>
      </c>
      <c r="K35" s="3">
        <f t="shared" si="8"/>
        <v>86.71250242909372</v>
      </c>
    </row>
    <row r="36" spans="1:11" ht="12.75">
      <c r="A36" s="6" t="s">
        <v>82</v>
      </c>
      <c r="B36" t="s">
        <v>69</v>
      </c>
      <c r="C36" s="3">
        <f>SUM(USAQUEN!C36+CHAPINERO!C36+SANTAFE!C36+'S. CRIST.'!C36+USME!C36)</f>
        <v>302000</v>
      </c>
      <c r="D36" s="3">
        <f>SUM(USAQUEN!D36+CHAPINERO!D36+SANTAFE!D36+'S. CRIST.'!D36+USME!D36)</f>
        <v>178173.164</v>
      </c>
      <c r="E36" s="4">
        <f t="shared" si="5"/>
        <v>480173.164</v>
      </c>
      <c r="F36" s="3">
        <f>SUM(USAQUEN!F36+CHAPINERO!F36+SANTAFE!F36+'S. CRIST.'!F36+USME!F36)</f>
        <v>265117.06</v>
      </c>
      <c r="G36" s="4">
        <f t="shared" si="6"/>
        <v>55.21280235477716</v>
      </c>
      <c r="H36" s="3">
        <f>SUM(USAQUEN!H36+CHAPINERO!H36+SANTAFE!H36+'S. CRIST.'!H36+USME!H36)</f>
        <v>68370</v>
      </c>
      <c r="I36" s="4">
        <f t="shared" si="7"/>
        <v>14.23861330159634</v>
      </c>
      <c r="J36" s="3">
        <f t="shared" si="9"/>
        <v>333487.06</v>
      </c>
      <c r="K36" s="3">
        <f t="shared" si="8"/>
        <v>69.4514156563735</v>
      </c>
    </row>
    <row r="37" spans="1:11" ht="12.75">
      <c r="A37" s="6">
        <v>334</v>
      </c>
      <c r="B37" s="1" t="s">
        <v>70</v>
      </c>
      <c r="C37" s="3">
        <f>SUM(USAQUEN!C37+CHAPINERO!C37+SANTAFE!C37+'S. CRIST.'!C37+USME!C37)</f>
        <v>2120200</v>
      </c>
      <c r="D37" s="3">
        <f>SUM(USAQUEN!D37+CHAPINERO!D37+SANTAFE!D37+'S. CRIST.'!D37+USME!D37)</f>
        <v>949.3150000000605</v>
      </c>
      <c r="E37" s="2">
        <f t="shared" si="5"/>
        <v>2121149.315</v>
      </c>
      <c r="F37" s="3">
        <f>SUM(USAQUEN!F37+CHAPINERO!F37+SANTAFE!F37+'S. CRIST.'!F37+USME!F37)</f>
        <v>1353337.291</v>
      </c>
      <c r="G37" s="2">
        <f t="shared" si="6"/>
        <v>63.8020756685863</v>
      </c>
      <c r="H37" s="3">
        <f>SUM(USAQUEN!H37+CHAPINERO!H37+SANTAFE!H37+'S. CRIST.'!H37+USME!H37)</f>
        <v>305236.83199999994</v>
      </c>
      <c r="I37" s="2">
        <f t="shared" si="7"/>
        <v>14.390162438894594</v>
      </c>
      <c r="J37" s="2">
        <f t="shared" si="9"/>
        <v>1658574.123</v>
      </c>
      <c r="K37" s="2">
        <f t="shared" si="8"/>
        <v>78.19223810748089</v>
      </c>
    </row>
    <row r="38" spans="1:11" ht="12.75">
      <c r="A38" s="6" t="s">
        <v>71</v>
      </c>
      <c r="B38" t="s">
        <v>72</v>
      </c>
      <c r="C38" s="3">
        <f>SUM(USAQUEN!C38+CHAPINERO!C38+SANTAFE!C38+'S. CRIST.'!C38+USME!C38)</f>
        <v>0</v>
      </c>
      <c r="D38" s="3">
        <f>SUM(USAQUEN!D38+CHAPINERO!D38+SANTAFE!D38+'S. CRIST.'!D38+USME!D38)</f>
        <v>19005489.761</v>
      </c>
      <c r="E38" s="2">
        <f t="shared" si="5"/>
        <v>19005489.761</v>
      </c>
      <c r="F38" s="3">
        <f>SUM(USAQUEN!F38+CHAPINERO!F38+SANTAFE!F38+'S. CRIST.'!F38+USME!F38)</f>
        <v>13232816.5</v>
      </c>
      <c r="G38" s="2">
        <f t="shared" si="6"/>
        <v>69.62628517552993</v>
      </c>
      <c r="H38" s="3">
        <f>SUM(USAQUEN!H38+CHAPINERO!H38+SANTAFE!H38+'S. CRIST.'!H38+USME!H38)</f>
        <v>5772673.261</v>
      </c>
      <c r="I38" s="2">
        <f t="shared" si="7"/>
        <v>30.373714824470078</v>
      </c>
      <c r="J38" s="2">
        <f t="shared" si="9"/>
        <v>19005489.761</v>
      </c>
      <c r="K38" s="2">
        <f t="shared" si="8"/>
        <v>100</v>
      </c>
    </row>
    <row r="39" spans="1:11" ht="12.75">
      <c r="A39" s="6" t="s">
        <v>73</v>
      </c>
      <c r="B39" t="s">
        <v>74</v>
      </c>
      <c r="C39" s="3">
        <f>SUM(USAQUEN!C39+CHAPINERO!C39+SANTAFE!C39+'S. CRIST.'!C39+USME!C39)</f>
        <v>0</v>
      </c>
      <c r="D39" s="3">
        <f>SUM(USAQUEN!D39+CHAPINERO!D39+SANTAFE!D39+'S. CRIST.'!D39+USME!D39)</f>
        <v>802806.574</v>
      </c>
      <c r="E39" s="2">
        <f>+C39+D39</f>
        <v>802806.574</v>
      </c>
      <c r="F39" s="3">
        <f>SUM(USAQUEN!F39+CHAPINERO!F39+SANTAFE!F39+'S. CRIST.'!F39+USME!F39)</f>
        <v>802806.574</v>
      </c>
      <c r="G39" s="2">
        <f>+F39/E39*100</f>
        <v>100</v>
      </c>
      <c r="H39" s="3">
        <f>SUM(USAQUEN!H39+CHAPINERO!H39+SANTAFE!H39+'S. CRIST.'!H39+USME!H39)</f>
        <v>0</v>
      </c>
      <c r="I39" s="2">
        <f>+H39/E39*100</f>
        <v>0</v>
      </c>
      <c r="J39" s="2">
        <f t="shared" si="9"/>
        <v>802806.574</v>
      </c>
      <c r="K39" s="2">
        <f>+J39/E39*100</f>
        <v>100</v>
      </c>
    </row>
    <row r="40" spans="1:11" ht="12.75">
      <c r="A40" s="6" t="s">
        <v>75</v>
      </c>
      <c r="B40" t="s">
        <v>76</v>
      </c>
      <c r="C40" s="3">
        <f>SUM(USAQUEN!C40+CHAPINERO!C40+SANTAFE!C40+'S. CRIST.'!C40+USME!C40)</f>
        <v>0</v>
      </c>
      <c r="D40" s="3">
        <f>SUM(USAQUEN!D40+CHAPINERO!D40+SANTAFE!D40+'S. CRIST.'!D40+USME!D40)</f>
        <v>1027740.882</v>
      </c>
      <c r="E40" s="2">
        <f>+C40+D40</f>
        <v>1027740.882</v>
      </c>
      <c r="F40" s="3">
        <f>SUM(USAQUEN!F40+CHAPINERO!F40+SANTAFE!F40+'S. CRIST.'!F40+USME!F40)</f>
        <v>37703.705</v>
      </c>
      <c r="G40" s="2">
        <f>+F40/E40*100</f>
        <v>3.6686002921892134</v>
      </c>
      <c r="H40" s="3">
        <f>SUM(USAQUEN!H40+CHAPINERO!H40+SANTAFE!H40+'S. CRIST.'!H40+USME!H40)</f>
        <v>0</v>
      </c>
      <c r="I40" s="2">
        <f>+H40/E40*100</f>
        <v>0</v>
      </c>
      <c r="J40" s="2">
        <f t="shared" si="9"/>
        <v>37703.705</v>
      </c>
      <c r="K40" s="2">
        <f>+J40/E40*100</f>
        <v>3.6686002921892134</v>
      </c>
    </row>
    <row r="41" spans="1:11" ht="12.75">
      <c r="A41" s="5"/>
      <c r="B41" s="1" t="s">
        <v>77</v>
      </c>
      <c r="C41" s="2">
        <f>+C7+C14+C18+C22+C24+C27+C33+C37</f>
        <v>36357682.69</v>
      </c>
      <c r="D41" s="2">
        <f>+D7+D14+D18+D22+D24+D27+D33+D37+D38+D39+D40</f>
        <v>27402768.861</v>
      </c>
      <c r="E41" s="2">
        <f>+E7+E14+E18+E22+E24+E27+E33+E37+E38+E39+E40</f>
        <v>63760451.551</v>
      </c>
      <c r="F41" s="2">
        <f>+F7+F14+F18+F22+F24+F27+F33+F37+F38+F39+F40</f>
        <v>25603475.797</v>
      </c>
      <c r="G41" s="2">
        <f>+F41/E41*100</f>
        <v>40.15573160820634</v>
      </c>
      <c r="H41" s="2">
        <f>+H7+H14+H18+H22+H24+H27+H33+H37+H38+H39+H40</f>
        <v>31892339.684999995</v>
      </c>
      <c r="I41" s="2">
        <f>+H41/E41*100</f>
        <v>50.018999096156506</v>
      </c>
      <c r="J41" s="2">
        <f>+J7+J14+J18+J22+J24+J27+J33+J37+J38+J39+J40</f>
        <v>57495815.482</v>
      </c>
      <c r="K41" s="2">
        <f>+J41/E41*100</f>
        <v>90.17473070436286</v>
      </c>
    </row>
    <row r="42" spans="1:11" ht="12.75">
      <c r="A42" s="6">
        <v>4</v>
      </c>
      <c r="B42" t="s">
        <v>78</v>
      </c>
      <c r="C42" s="3">
        <f>SUM(USAQUEN!C42+CHAPINERO!C42+SANTAFE!C42+'S. CRIST.'!C42+USME!C42)</f>
        <v>0</v>
      </c>
      <c r="D42" s="3">
        <f>SUM(USAQUEN!D42+CHAPINERO!D42+SANTAFE!D42+'S. CRIST.'!D42+USME!D42)</f>
        <v>2648374.1799999997</v>
      </c>
      <c r="E42" s="2">
        <f>+C42+D42</f>
        <v>2648374.1799999997</v>
      </c>
      <c r="F42" s="3">
        <f>SUM(USAQUEN!F42+CHAPINERO!F42+SANTAFE!F42+'S. CRIST.'!F42+USME!F42)</f>
        <v>0</v>
      </c>
      <c r="G42" s="4">
        <f>+F42/E42*100</f>
        <v>0</v>
      </c>
      <c r="H42" s="3">
        <f>SUM(USAQUEN!H42+CHAPINERO!H42+SANTAFE!H42+'S. CRIST.'!H42+USME!H42)</f>
        <v>0</v>
      </c>
      <c r="I42" s="4">
        <f>+H42/E42*100</f>
        <v>0</v>
      </c>
      <c r="J42" s="2">
        <f t="shared" si="9"/>
        <v>0</v>
      </c>
      <c r="K42" s="3">
        <f>+J42/E42*100</f>
        <v>0</v>
      </c>
    </row>
    <row r="43" spans="1:11" ht="12.75">
      <c r="A43" s="7"/>
      <c r="B43" s="1" t="s">
        <v>79</v>
      </c>
      <c r="C43" s="2">
        <f>+C41+C42</f>
        <v>36357682.69</v>
      </c>
      <c r="D43" s="2">
        <f>+D41+D42</f>
        <v>30051143.041</v>
      </c>
      <c r="E43" s="2">
        <f>+C43+D43</f>
        <v>66408825.731</v>
      </c>
      <c r="F43" s="2">
        <f>+F41+F42</f>
        <v>25603475.797</v>
      </c>
      <c r="G43" s="2">
        <f>+F43/E43*100</f>
        <v>38.554326951527706</v>
      </c>
      <c r="H43" s="2">
        <f>+H41+H42</f>
        <v>31892339.684999995</v>
      </c>
      <c r="I43" s="2">
        <f>+H43/E43*100</f>
        <v>48.02424878612555</v>
      </c>
      <c r="J43" s="2">
        <f>+J41+J42</f>
        <v>57495815.482</v>
      </c>
      <c r="K43" s="2">
        <f>+J43/E43*100</f>
        <v>86.57857573765327</v>
      </c>
    </row>
  </sheetData>
  <mergeCells count="5">
    <mergeCell ref="C5:E5"/>
    <mergeCell ref="F5:K5"/>
    <mergeCell ref="C1:I1"/>
    <mergeCell ref="C2:I2"/>
    <mergeCell ref="C3:I3"/>
  </mergeCells>
  <printOptions gridLines="1"/>
  <pageMargins left="0.75" right="0.75" top="1" bottom="1" header="0.511811024" footer="0.511811024"/>
  <pageSetup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CONTRALORIA DE BOGOTA</cp:lastModifiedBy>
  <cp:lastPrinted>2002-06-11T21:39:12Z</cp:lastPrinted>
  <dcterms:created xsi:type="dcterms:W3CDTF">2002-05-20T21:52:44Z</dcterms:created>
  <dcterms:modified xsi:type="dcterms:W3CDTF">2002-06-11T21:39:21Z</dcterms:modified>
  <cp:category/>
  <cp:version/>
  <cp:contentType/>
  <cp:contentStatus/>
</cp:coreProperties>
</file>